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11640" tabRatio="742" activeTab="3"/>
  </bookViews>
  <sheets>
    <sheet name="Summary Notes" sheetId="1" r:id="rId1"/>
    <sheet name="PY Comparison" sheetId="2" state="hidden" r:id="rId2"/>
    <sheet name="Budget by month &amp; class" sheetId="3" state="hidden" r:id="rId3"/>
    <sheet name="Budget by Grant" sheetId="4" r:id="rId4"/>
    <sheet name="Staffing" sheetId="5" state="hidden" r:id="rId5"/>
    <sheet name="Contract Summary" sheetId="6" r:id="rId6"/>
    <sheet name="Assumptions" sheetId="7" r:id="rId7"/>
    <sheet name="RSD Scale" sheetId="8" state="hidden" r:id="rId8"/>
    <sheet name="Insurance" sheetId="9" state="hidden" r:id="rId9"/>
    <sheet name="Sheet1" sheetId="10" state="hidden" r:id="rId10"/>
  </sheets>
  <definedNames>
    <definedName name="_xlnm.Print_Titles" localSheetId="5">'Contract Summary'!$1:$3</definedName>
    <definedName name="_xlnm.Print_Titles" localSheetId="4">'Staffing'!$1:$1</definedName>
  </definedNames>
  <calcPr fullCalcOnLoad="1"/>
</workbook>
</file>

<file path=xl/comments3.xml><?xml version="1.0" encoding="utf-8"?>
<comments xmlns="http://schemas.openxmlformats.org/spreadsheetml/2006/main">
  <authors>
    <author>Kathy Hebert</author>
    <author>Kathy</author>
  </authors>
  <commentList>
    <comment ref="P6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over 10 months</t>
        </r>
      </text>
    </comment>
    <comment ref="P20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over 12 months</t>
        </r>
      </text>
    </comment>
    <comment ref="P178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over 10 months</t>
        </r>
      </text>
    </comment>
    <comment ref="R32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represents indirect cost</t>
        </r>
      </text>
    </comment>
    <comment ref="R36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represents indirect cost</t>
        </r>
      </text>
    </comment>
    <comment ref="P180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over 10 months</t>
        </r>
      </text>
    </comment>
    <comment ref="D257" authorId="1">
      <text>
        <r>
          <rPr>
            <b/>
            <sz val="9"/>
            <rFont val="Tahoma"/>
            <family val="2"/>
          </rPr>
          <t>Kathy:</t>
        </r>
        <r>
          <rPr>
            <sz val="9"/>
            <rFont val="Tahoma"/>
            <family val="2"/>
          </rPr>
          <t xml:space="preserve">
includes one time plumbing expense</t>
        </r>
      </text>
    </comment>
  </commentList>
</comments>
</file>

<file path=xl/comments4.xml><?xml version="1.0" encoding="utf-8"?>
<comments xmlns="http://schemas.openxmlformats.org/spreadsheetml/2006/main">
  <authors>
    <author>keeanya.dupre</author>
    <author>Kathy</author>
  </authors>
  <commentList>
    <comment ref="O16" authorId="0">
      <text>
        <r>
          <rPr>
            <b/>
            <sz val="10"/>
            <rFont val="Tahoma"/>
            <family val="2"/>
          </rPr>
          <t>keeanya.dupre:</t>
        </r>
        <r>
          <rPr>
            <sz val="10"/>
            <rFont val="Tahoma"/>
            <family val="2"/>
          </rPr>
          <t xml:space="preserve">
see cell H14. This is not on staffing page.
</t>
        </r>
      </text>
    </comment>
    <comment ref="O43" authorId="1">
      <text>
        <r>
          <rPr>
            <b/>
            <sz val="9"/>
            <rFont val="Tahoma"/>
            <family val="2"/>
          </rPr>
          <t>Kathy:</t>
        </r>
        <r>
          <rPr>
            <sz val="9"/>
            <rFont val="Tahoma"/>
            <family val="2"/>
          </rPr>
          <t xml:space="preserve">
excludes depr for comparative purposes</t>
        </r>
      </text>
    </comment>
    <comment ref="C28" authorId="0">
      <text>
        <r>
          <rPr>
            <b/>
            <sz val="10"/>
            <rFont val="Tahoma"/>
            <family val="2"/>
          </rPr>
          <t>keeanya.dupre:</t>
        </r>
        <r>
          <rPr>
            <sz val="10"/>
            <rFont val="Tahoma"/>
            <family val="2"/>
          </rPr>
          <t xml:space="preserve">
plug number.
</t>
        </r>
      </text>
    </comment>
    <comment ref="C36" authorId="0">
      <text>
        <r>
          <rPr>
            <b/>
            <sz val="10"/>
            <rFont val="Tahoma"/>
            <family val="2"/>
          </rPr>
          <t>keeanya.dupre:</t>
        </r>
        <r>
          <rPr>
            <sz val="10"/>
            <rFont val="Tahoma"/>
            <family val="2"/>
          </rPr>
          <t xml:space="preserve">
estimate</t>
        </r>
      </text>
    </comment>
    <comment ref="C42" authorId="0">
      <text>
        <r>
          <rPr>
            <b/>
            <sz val="10"/>
            <rFont val="Tahoma"/>
            <family val="2"/>
          </rPr>
          <t>keeanya.dupre:</t>
        </r>
        <r>
          <rPr>
            <sz val="10"/>
            <rFont val="Tahoma"/>
            <family val="2"/>
          </rPr>
          <t xml:space="preserve">
Plug
</t>
        </r>
      </text>
    </comment>
  </commentList>
</comments>
</file>

<file path=xl/comments5.xml><?xml version="1.0" encoding="utf-8"?>
<comments xmlns="http://schemas.openxmlformats.org/spreadsheetml/2006/main">
  <authors>
    <author>Kathy Hebert</author>
  </authors>
  <commentList>
    <comment ref="D4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C13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terminated</t>
        </r>
      </text>
    </comment>
    <comment ref="C9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terminated</t>
        </r>
      </text>
    </comment>
    <comment ref="D10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9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12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13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88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15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16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17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18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19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25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5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113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C42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terminated</t>
        </r>
      </text>
    </comment>
    <comment ref="D42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21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14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26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C27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terminated</t>
        </r>
      </text>
    </comment>
    <comment ref="D27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23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22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  <comment ref="D24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includes additional true up of salary</t>
        </r>
      </text>
    </comment>
  </commentList>
</comments>
</file>

<file path=xl/comments6.xml><?xml version="1.0" encoding="utf-8"?>
<comments xmlns="http://schemas.openxmlformats.org/spreadsheetml/2006/main">
  <authors>
    <author>Kathy Hebert</author>
    <author>Kathy</author>
  </authors>
  <commentList>
    <comment ref="P84" authorId="0">
      <text>
        <r>
          <rPr>
            <b/>
            <sz val="9"/>
            <rFont val="Tahoma"/>
            <family val="2"/>
          </rPr>
          <t>Kathy Hebert:</t>
        </r>
        <r>
          <rPr>
            <sz val="9"/>
            <rFont val="Tahoma"/>
            <family val="2"/>
          </rPr>
          <t xml:space="preserve">
assumes 2 buses</t>
        </r>
      </text>
    </comment>
    <comment ref="B4" authorId="0">
      <text>
        <r>
          <rPr>
            <b/>
            <sz val="8"/>
            <rFont val="Tahoma"/>
            <family val="2"/>
          </rPr>
          <t>Kathy Hebert:</t>
        </r>
        <r>
          <rPr>
            <sz val="8"/>
            <rFont val="Tahoma"/>
            <family val="2"/>
          </rPr>
          <t xml:space="preserve">
School Leadership Center</t>
        </r>
      </text>
    </comment>
    <comment ref="P83" authorId="1">
      <text>
        <r>
          <rPr>
            <b/>
            <sz val="9"/>
            <rFont val="Tahoma"/>
            <family val="2"/>
          </rPr>
          <t>Kathy:</t>
        </r>
        <r>
          <rPr>
            <sz val="9"/>
            <rFont val="Tahoma"/>
            <family val="2"/>
          </rPr>
          <t xml:space="preserve">
adjusted for 3 buses</t>
        </r>
      </text>
    </comment>
  </commentList>
</comments>
</file>

<file path=xl/comments7.xml><?xml version="1.0" encoding="utf-8"?>
<comments xmlns="http://schemas.openxmlformats.org/spreadsheetml/2006/main">
  <authors>
    <author>Kathy</author>
  </authors>
  <commentList>
    <comment ref="H19" authorId="0">
      <text>
        <r>
          <rPr>
            <b/>
            <sz val="9"/>
            <rFont val="Tahoma"/>
            <family val="2"/>
          </rPr>
          <t>Kathy:</t>
        </r>
        <r>
          <rPr>
            <sz val="9"/>
            <rFont val="Tahoma"/>
            <family val="2"/>
          </rPr>
          <t xml:space="preserve">
base less mid year adjustment and audit adj</t>
        </r>
      </text>
    </comment>
    <comment ref="H6" authorId="0">
      <text>
        <r>
          <rPr>
            <b/>
            <sz val="9"/>
            <rFont val="Tahoma"/>
            <family val="2"/>
          </rPr>
          <t>Kathy:</t>
        </r>
        <r>
          <rPr>
            <sz val="9"/>
            <rFont val="Tahoma"/>
            <family val="2"/>
          </rPr>
          <t xml:space="preserve">
base less mid year adjustment and audit adj</t>
        </r>
      </text>
    </comment>
  </commentList>
</comments>
</file>

<file path=xl/sharedStrings.xml><?xml version="1.0" encoding="utf-8"?>
<sst xmlns="http://schemas.openxmlformats.org/spreadsheetml/2006/main" count="866" uniqueCount="714">
  <si>
    <t>Feb 12</t>
  </si>
  <si>
    <t>Green, Tiffany</t>
  </si>
  <si>
    <t>Lofton, Carmelilte</t>
  </si>
  <si>
    <t>115-1210</t>
  </si>
  <si>
    <t>Rizzuto, Elisabeth (Reading)</t>
  </si>
  <si>
    <t>Perrault, Karin (5th/6th ELA)</t>
  </si>
  <si>
    <t>Johnson, Malcom (PE)</t>
  </si>
  <si>
    <t>Pittman, Andrea (2nd)</t>
  </si>
  <si>
    <t>Augustine,Kimberly (1st)</t>
  </si>
  <si>
    <t>11-12 Premium</t>
  </si>
  <si>
    <t>LOOP , TREE, Power Ties, Seamless Trans</t>
  </si>
  <si>
    <t>HPSI</t>
  </si>
  <si>
    <t>Title I</t>
  </si>
  <si>
    <t>HPSI</t>
  </si>
  <si>
    <t>HPSI</t>
  </si>
  <si>
    <t>Rebecca Chase</t>
  </si>
  <si>
    <t>Kevin Ward</t>
  </si>
  <si>
    <t>HPSI</t>
  </si>
  <si>
    <t>After/Summer School (Title I)</t>
  </si>
  <si>
    <t>General Fund 300</t>
  </si>
  <si>
    <t>General Fund 400</t>
  </si>
  <si>
    <t>General Fund 500</t>
  </si>
  <si>
    <t>IDEA 300</t>
  </si>
  <si>
    <t>Title I 300</t>
  </si>
  <si>
    <t>Title I 500</t>
  </si>
  <si>
    <t>Cash Flow Forecast</t>
  </si>
  <si>
    <t>Beginning Balance</t>
  </si>
  <si>
    <t>Net from Operations</t>
  </si>
  <si>
    <t>Capital Expense</t>
  </si>
  <si>
    <t>Ending Balance</t>
  </si>
  <si>
    <t>Anet</t>
  </si>
  <si>
    <t>Life</t>
  </si>
  <si>
    <t>Disability</t>
  </si>
  <si>
    <t>General Fund</t>
  </si>
  <si>
    <t>IDEA B</t>
  </si>
  <si>
    <t>ESYP</t>
  </si>
  <si>
    <t>Totals</t>
  </si>
  <si>
    <t>Carryover</t>
  </si>
  <si>
    <t>Total Avail</t>
  </si>
  <si>
    <t>Total Exp</t>
  </si>
  <si>
    <t>FTE</t>
  </si>
  <si>
    <t>Michael Moore</t>
  </si>
  <si>
    <t>Shelia Hebert</t>
  </si>
  <si>
    <t>Master Teacher</t>
  </si>
  <si>
    <t>Linda Cambre</t>
  </si>
  <si>
    <t>Reading Interventionist</t>
  </si>
  <si>
    <t>July - Sept</t>
  </si>
  <si>
    <t>1003a</t>
  </si>
  <si>
    <t>Betty Winn</t>
  </si>
  <si>
    <t>Math Interventionist</t>
  </si>
  <si>
    <t>Oct-June</t>
  </si>
  <si>
    <t>Kelly Services</t>
  </si>
  <si>
    <t>Subsitutes</t>
  </si>
  <si>
    <t>Library Services</t>
  </si>
  <si>
    <t>Salaries</t>
  </si>
  <si>
    <t>Fringe</t>
  </si>
  <si>
    <t>Other Services</t>
  </si>
  <si>
    <t>Supplies</t>
  </si>
  <si>
    <t>Equipment</t>
  </si>
  <si>
    <t>Fees</t>
  </si>
  <si>
    <t>Repairs/Maint.</t>
  </si>
  <si>
    <t>Professional Svcs</t>
  </si>
  <si>
    <t>HPSI</t>
  </si>
  <si>
    <t>Indirect Costs</t>
  </si>
  <si>
    <t>Kidsmart</t>
  </si>
  <si>
    <t>Income</t>
  </si>
  <si>
    <t xml:space="preserve">   Revenue From Local Sources</t>
  </si>
  <si>
    <t xml:space="preserve">   Revenue from State Sources</t>
  </si>
  <si>
    <t>Total Income</t>
  </si>
  <si>
    <t>Expenses</t>
  </si>
  <si>
    <t xml:space="preserve">   100 Salaries</t>
  </si>
  <si>
    <t xml:space="preserve">   200 Employee Benefits</t>
  </si>
  <si>
    <t xml:space="preserve">   300 Purchased Prof and Technical Services</t>
  </si>
  <si>
    <t xml:space="preserve">   400 Purchased Property Services</t>
  </si>
  <si>
    <t xml:space="preserve">   500 Other Purchased Services</t>
  </si>
  <si>
    <t xml:space="preserve">   600 Materials &amp; Supplies</t>
  </si>
  <si>
    <t xml:space="preserve">   700 Property</t>
  </si>
  <si>
    <t xml:space="preserve">   800 Dues &amp; Fees</t>
  </si>
  <si>
    <t xml:space="preserve">   900 Other Uses of Funds</t>
  </si>
  <si>
    <t>Total Expenses</t>
  </si>
  <si>
    <t>FY10-11 Budget</t>
  </si>
  <si>
    <t>Variance from PY</t>
  </si>
  <si>
    <t>Actual YTD 6/30/10</t>
  </si>
  <si>
    <t xml:space="preserve">   Revenue From Federal Sources:</t>
  </si>
  <si>
    <t xml:space="preserve">   Total Revenue from Federal Sources</t>
  </si>
  <si>
    <t>Aides Salaries - REG</t>
  </si>
  <si>
    <t>1110115</t>
  </si>
  <si>
    <t xml:space="preserve">   Total Revenue from Local Sources</t>
  </si>
  <si>
    <t xml:space="preserve">   Total Revenue from State Sources</t>
  </si>
  <si>
    <t>MFP</t>
  </si>
  <si>
    <t>Interest</t>
  </si>
  <si>
    <t>Extended school year</t>
  </si>
  <si>
    <t>Education Excellence Funds</t>
  </si>
  <si>
    <t>K-3 Reading /Math Initiative</t>
  </si>
  <si>
    <t>Federal Stabilization Funds</t>
  </si>
  <si>
    <t>Charter Schools Grants</t>
  </si>
  <si>
    <t>ARRA Funds</t>
  </si>
  <si>
    <t>Budget Comparison to Prior Year Actuals</t>
  </si>
  <si>
    <t>Audit &amp; Tax Return</t>
  </si>
  <si>
    <t>Attorney</t>
  </si>
  <si>
    <t>Allied Waste</t>
  </si>
  <si>
    <t>disposal</t>
  </si>
  <si>
    <t>Travel</t>
  </si>
  <si>
    <t>Boudreaux, Adrienne</t>
  </si>
  <si>
    <t>Hughes, Jason</t>
  </si>
  <si>
    <t>Master Teachers</t>
  </si>
  <si>
    <t>Sch Impr 1003(g)</t>
  </si>
  <si>
    <t>Interventionists</t>
  </si>
  <si>
    <t>Cambre, Linda</t>
  </si>
  <si>
    <t>Cox</t>
  </si>
  <si>
    <t>Assumes erate discount</t>
  </si>
  <si>
    <t>Sterling, Sharlene</t>
  </si>
  <si>
    <t>Medical</t>
  </si>
  <si>
    <t>Medicare/Workers Comp/  2.7%</t>
  </si>
  <si>
    <t>Social Sec 6.2%</t>
  </si>
  <si>
    <t>Masters</t>
  </si>
  <si>
    <t>Bachelors</t>
  </si>
  <si>
    <t>FY09-10</t>
  </si>
  <si>
    <t>FY10-11</t>
  </si>
  <si>
    <t>Yrs</t>
  </si>
  <si>
    <t>Moore, Willie</t>
  </si>
  <si>
    <t>Network Support</t>
  </si>
  <si>
    <t>Initial set-up &amp; equipment</t>
  </si>
  <si>
    <t>New Orleans Outreach</t>
  </si>
  <si>
    <t>ANet</t>
  </si>
  <si>
    <t>+5%</t>
  </si>
  <si>
    <t>Social Worker</t>
  </si>
  <si>
    <t>Hillard, Adrienne (2nd)</t>
  </si>
  <si>
    <t>Siemens</t>
  </si>
  <si>
    <t>Fire Alarm</t>
  </si>
  <si>
    <t>Teachers - Elem</t>
  </si>
  <si>
    <t>Assistant Principal</t>
  </si>
  <si>
    <t>111-2410</t>
  </si>
  <si>
    <t>114-2410</t>
  </si>
  <si>
    <t>111-2420</t>
  </si>
  <si>
    <t>Business Services</t>
  </si>
  <si>
    <t>111-2510</t>
  </si>
  <si>
    <t>SUBTOTAL - 111-2420</t>
  </si>
  <si>
    <t>SUBTOTAL - 111-2510</t>
  </si>
  <si>
    <t>SUBTOTAL - 111-2134</t>
  </si>
  <si>
    <t>IDEA ARRA</t>
  </si>
  <si>
    <t>Vendor</t>
  </si>
  <si>
    <t>Suns Center</t>
  </si>
  <si>
    <t>Spec Ed</t>
  </si>
  <si>
    <t>idea?</t>
  </si>
  <si>
    <t>Admin Fee</t>
  </si>
  <si>
    <t>State Total</t>
  </si>
  <si>
    <t>Monthly Amt</t>
  </si>
  <si>
    <t>Total Local</t>
  </si>
  <si>
    <t>Combined S&amp;L</t>
  </si>
  <si>
    <t>TOTAL</t>
  </si>
  <si>
    <t>Count Adj</t>
  </si>
  <si>
    <t>Catch Up Monthly Amt</t>
  </si>
  <si>
    <t>Revised Monthly Amt (State)</t>
  </si>
  <si>
    <t>Revised Monthly Amt (Local)</t>
  </si>
  <si>
    <t>$30/child annually</t>
  </si>
  <si>
    <t>Johnson Controls</t>
  </si>
  <si>
    <t>based on # of pupils</t>
  </si>
  <si>
    <t># of days/month</t>
  </si>
  <si>
    <t>Regular (General)</t>
  </si>
  <si>
    <t>Paychex</t>
  </si>
  <si>
    <t>Hurr Kat</t>
  </si>
  <si>
    <t>Hurricane Katrina</t>
  </si>
  <si>
    <t>School Improvement</t>
  </si>
  <si>
    <t>Board Training</t>
  </si>
  <si>
    <t>security</t>
  </si>
  <si>
    <t>Hourly Rate</t>
  </si>
  <si>
    <t>Copier</t>
  </si>
  <si>
    <t>Internet service</t>
  </si>
  <si>
    <t>Assumes erate disc</t>
  </si>
  <si>
    <t>NOPS</t>
  </si>
  <si>
    <t>Sch Imp</t>
  </si>
  <si>
    <t>Copier 1</t>
  </si>
  <si>
    <t>Copier 2</t>
  </si>
  <si>
    <t>Copier 3</t>
  </si>
  <si>
    <t>Monthly Maints</t>
  </si>
  <si>
    <t>(Child Nutrition)</t>
  </si>
  <si>
    <t>(Konica Minolta)</t>
  </si>
  <si>
    <t>AC/Heating</t>
  </si>
  <si>
    <t>Orkin</t>
  </si>
  <si>
    <t>Pitney Bowes</t>
  </si>
  <si>
    <t>pest control</t>
  </si>
  <si>
    <t>Pest Control</t>
  </si>
  <si>
    <t>meter rental</t>
  </si>
  <si>
    <t>postage</t>
  </si>
  <si>
    <t>Sonitrol</t>
  </si>
  <si>
    <t>Alarm</t>
  </si>
  <si>
    <t>Student Data Sys</t>
  </si>
  <si>
    <t>Annually</t>
  </si>
  <si>
    <t>AT&amp;T</t>
  </si>
  <si>
    <t>Payroll processing</t>
  </si>
  <si>
    <t>KRH Consulting</t>
  </si>
  <si>
    <t>Accounting Services</t>
  </si>
  <si>
    <t>main phone &amp; fax &amp; LD</t>
  </si>
  <si>
    <t>Title 1 ARRA</t>
  </si>
  <si>
    <t>Title 1 SI</t>
  </si>
  <si>
    <t xml:space="preserve">IDEA </t>
  </si>
  <si>
    <t>Materials &amp; Suppplies - Health Services</t>
  </si>
  <si>
    <t>Depreciation</t>
  </si>
  <si>
    <t>A/C Heating</t>
  </si>
  <si>
    <t>CDL</t>
  </si>
  <si>
    <t>School Lead Center</t>
  </si>
  <si>
    <t>Materials &amp; Suppplies-Parental Involvement</t>
  </si>
  <si>
    <t>Kagan</t>
  </si>
  <si>
    <t>Materials &amp; Suppplies-PBS/Life Skills</t>
  </si>
  <si>
    <t>Drug &amp; Free Schools</t>
  </si>
  <si>
    <t>Materials &amp; Suppplies-Reading</t>
  </si>
  <si>
    <t>Materials &amp; Suppplies-reading &amp; math</t>
  </si>
  <si>
    <t>Computers &amp; Equip - Hurr Kat</t>
  </si>
  <si>
    <t>Materials &amp; Suppplies-hurricane Katrina</t>
  </si>
  <si>
    <t>Tech Support</t>
  </si>
  <si>
    <t>Other</t>
  </si>
  <si>
    <t>Net Income</t>
  </si>
  <si>
    <t xml:space="preserve">  </t>
  </si>
  <si>
    <t>Retirement - Reg</t>
  </si>
  <si>
    <t>Retirement - Prin Admin</t>
  </si>
  <si>
    <t>Retirement - Assist Prin Admin</t>
  </si>
  <si>
    <t>Retirement - Clerical/Secretarial Admin</t>
  </si>
  <si>
    <t>Retirement - Pupil Support Services</t>
  </si>
  <si>
    <t>Retirement - Guidance Services</t>
  </si>
  <si>
    <t>Retirement - Health Services</t>
  </si>
  <si>
    <t>Retirement - Instructional Staff Services</t>
  </si>
  <si>
    <t>Retirement - Ops &amp; Maint</t>
  </si>
  <si>
    <t>Retirement - Business Services</t>
  </si>
  <si>
    <t>Total Retirement</t>
  </si>
  <si>
    <t>SUTA - Reg K</t>
  </si>
  <si>
    <t>Work Comp - Reg K</t>
  </si>
  <si>
    <t>Worker's Compensation</t>
  </si>
  <si>
    <t>Work Comp - REG</t>
  </si>
  <si>
    <t>Work Comp - SPED</t>
  </si>
  <si>
    <t>Work Comp - Principal ADMIN</t>
  </si>
  <si>
    <t>Work Comp - Assistant Princiapl ADMIN</t>
  </si>
  <si>
    <t>Work Comp Clerical/Secretarial - ADMIN</t>
  </si>
  <si>
    <t>Work Comp Pupil Support Services</t>
  </si>
  <si>
    <t>Work Comp Guidance Services</t>
  </si>
  <si>
    <t>Work Comp Health Services</t>
  </si>
  <si>
    <t>Work Comp Instructional Staff Services</t>
  </si>
  <si>
    <t>Work Comp Operations &amp; Maintenance</t>
  </si>
  <si>
    <t>Work Comp - BUSINESS SVCS</t>
  </si>
  <si>
    <t>Total Worker's Compensation</t>
  </si>
  <si>
    <t>Materials &amp; Suppplies - REG K</t>
  </si>
  <si>
    <t>Title V</t>
  </si>
  <si>
    <t>Local</t>
  </si>
  <si>
    <t>SPED</t>
  </si>
  <si>
    <t>Retirement - SPED</t>
  </si>
  <si>
    <t>Travel - SPED</t>
  </si>
  <si>
    <t>Dues &amp; Fees - Support Services</t>
  </si>
  <si>
    <t>Materials &amp; Suppplies - (Athletics)</t>
  </si>
  <si>
    <t>Security</t>
  </si>
  <si>
    <t>time clock</t>
  </si>
  <si>
    <t>Technology Services</t>
  </si>
  <si>
    <t>Group Health Insurance-Food Services</t>
  </si>
  <si>
    <t>Medicare Food Services</t>
  </si>
  <si>
    <t>Retirement - Food Services</t>
  </si>
  <si>
    <t>SUTA Food Services</t>
  </si>
  <si>
    <t>Work Comp Food Services</t>
  </si>
  <si>
    <t>Materials &amp; Supplies-Food Services</t>
  </si>
  <si>
    <t>Technical Services - Food Services</t>
  </si>
  <si>
    <t>Travel - Food Services</t>
  </si>
  <si>
    <t>Vacant</t>
  </si>
  <si>
    <t>3 tchrs, 1hrs/100 days at $30  (After School)</t>
  </si>
  <si>
    <t>LEAP</t>
  </si>
  <si>
    <t>2 para, 1hr/100 days at $15 (After School)</t>
  </si>
  <si>
    <t>4 tchrs at $35/hr for 6 hrs x 20 days (Summer School)</t>
  </si>
  <si>
    <t>2 Paras, 6hrs/20 days at $15 (Summer School)</t>
  </si>
  <si>
    <t>Markey, Evelyn</t>
  </si>
  <si>
    <t>Dupre, Keeanya</t>
  </si>
  <si>
    <t>Enrollment</t>
  </si>
  <si>
    <t>rate/bus</t>
  </si>
  <si>
    <t># of buses</t>
  </si>
  <si>
    <t>Maintenance</t>
  </si>
  <si>
    <t>Title I - ARRA</t>
  </si>
  <si>
    <t>Health Insurance</t>
  </si>
  <si>
    <t>EE Only</t>
  </si>
  <si>
    <t>EE Spouse</t>
  </si>
  <si>
    <t>EE Minor</t>
  </si>
  <si>
    <t>Family</t>
  </si>
  <si>
    <t>Teachers- Kinder</t>
  </si>
  <si>
    <t>Teachers-Elem</t>
  </si>
  <si>
    <t>Aides - Elem</t>
  </si>
  <si>
    <t>Total Purchased Property Services</t>
  </si>
  <si>
    <t>Food Services</t>
  </si>
  <si>
    <t>Total Operation of Non-Inst Services</t>
  </si>
  <si>
    <t>Books &amp; Periodicals:</t>
  </si>
  <si>
    <t>Library Books - REG</t>
  </si>
  <si>
    <t>1100642</t>
  </si>
  <si>
    <t>Textbooks - REG</t>
  </si>
  <si>
    <t>Textbooks - SPED</t>
  </si>
  <si>
    <t>2200640</t>
  </si>
  <si>
    <t>Books &amp; Periodicals - INSTR STAFF</t>
  </si>
  <si>
    <t>Books &amp; Periodicals - BOD</t>
  </si>
  <si>
    <t>Books &amp; Periodicals - ADMIN SVCS</t>
  </si>
  <si>
    <t>2420640</t>
  </si>
  <si>
    <t>Books &amp; Periodicals-Assistant Principal</t>
  </si>
  <si>
    <t>2490640</t>
  </si>
  <si>
    <t>Books &amp; Periodicals-Clerical</t>
  </si>
  <si>
    <t>Books &amp; Periodicals-BUSINESS SVCS</t>
  </si>
  <si>
    <t>Total Books &amp; Periodicals</t>
  </si>
  <si>
    <t>Materials &amp; Supplies:</t>
  </si>
  <si>
    <t>1100610</t>
  </si>
  <si>
    <t>Materials &amp; Suppplies - REG</t>
  </si>
  <si>
    <t>1210610</t>
  </si>
  <si>
    <t>Materials &amp; Suppplies - SPED</t>
  </si>
  <si>
    <t>2230610</t>
  </si>
  <si>
    <t>Materials &amp; Suppplies-Prof Dev - INSTR STAFF</t>
  </si>
  <si>
    <t>2311610</t>
  </si>
  <si>
    <t>Materials &amp; Suppplies - BOD</t>
  </si>
  <si>
    <t>2410610</t>
  </si>
  <si>
    <t>Materials and Supplies-Principal - ADMIN</t>
  </si>
  <si>
    <t>2490610</t>
  </si>
  <si>
    <t>Materials and Supplies-Clerical - ADMIN</t>
  </si>
  <si>
    <t>2510610</t>
  </si>
  <si>
    <t>Materials and Supplies - BUSINESS SVCS</t>
  </si>
  <si>
    <t>2600610</t>
  </si>
  <si>
    <t>Materials and Supplies - OPS &amp; MAINT</t>
  </si>
  <si>
    <t>2823610</t>
  </si>
  <si>
    <t>Materials &amp; Supplies-Public Information</t>
  </si>
  <si>
    <t>2832610</t>
  </si>
  <si>
    <t>Materials &amp; Supplies-Recruitment</t>
  </si>
  <si>
    <t>Total Materials &amp; Supplies</t>
  </si>
  <si>
    <t>Telephone and Postage:</t>
  </si>
  <si>
    <t>1100530</t>
  </si>
  <si>
    <t>Telephone &amp; Postage - REG</t>
  </si>
  <si>
    <t>Telephone &amp; Postage - SPED</t>
  </si>
  <si>
    <t>2300530</t>
  </si>
  <si>
    <t>Telephone &amp; Postage - G&amp;A POLICY</t>
  </si>
  <si>
    <t>2410530</t>
  </si>
  <si>
    <t>Telephone &amp; Postage-Principal - ADMIN</t>
  </si>
  <si>
    <t>Telephone &amp; Postage-Asst Principal - ADMIN</t>
  </si>
  <si>
    <t>2490530</t>
  </si>
  <si>
    <t>Telephone &amp; Postage-Clerical - ADMIN</t>
  </si>
  <si>
    <t>2510530</t>
  </si>
  <si>
    <t>Telephone &amp; Postage - BUSINESS SVCS</t>
  </si>
  <si>
    <t>2620530</t>
  </si>
  <si>
    <t>Telephone &amp; Postage - OPS &amp; MAINT</t>
  </si>
  <si>
    <t>Total Telephone and Postage</t>
  </si>
  <si>
    <t>Travel:</t>
  </si>
  <si>
    <t>2230582</t>
  </si>
  <si>
    <t>Travel - INSTR STAFF</t>
  </si>
  <si>
    <t>2310582</t>
  </si>
  <si>
    <t>Travel - BOD</t>
  </si>
  <si>
    <t>2400582</t>
  </si>
  <si>
    <t>Travel - ADMIN</t>
  </si>
  <si>
    <t>2832582</t>
  </si>
  <si>
    <t>Travel-Recruitment &amp; Placement - CENTRAL SVCS</t>
  </si>
  <si>
    <t>Total Travel</t>
  </si>
  <si>
    <t>TOTAL OPERATING EXPENSES</t>
  </si>
  <si>
    <t>OPERATING INCOME (LOSS)</t>
  </si>
  <si>
    <t>check</t>
  </si>
  <si>
    <t>Teacher Salaries - K</t>
  </si>
  <si>
    <t>Group Health Insurance - Teachers K</t>
  </si>
  <si>
    <t>Social Security - REG K</t>
  </si>
  <si>
    <t>Retirement</t>
  </si>
  <si>
    <t>Retirement - Reg K</t>
  </si>
  <si>
    <t>Advertising-Recruitment &amp; Placement</t>
  </si>
  <si>
    <t>Dues &amp; Fees:</t>
  </si>
  <si>
    <t>1100810</t>
  </si>
  <si>
    <t>Dues &amp; Fees - REG</t>
  </si>
  <si>
    <t>1210810</t>
  </si>
  <si>
    <t>2400810</t>
  </si>
  <si>
    <t>Dues &amp; Fees - ADMIN</t>
  </si>
  <si>
    <t>Total Dues &amp; Fees</t>
  </si>
  <si>
    <t>Computer Equipment:</t>
  </si>
  <si>
    <t>Computers &amp; Equip - REG</t>
  </si>
  <si>
    <t>Computers &amp; Equip - SPED</t>
  </si>
  <si>
    <t>2211739</t>
  </si>
  <si>
    <t>Computers &amp; Equip - INSTR STAFF</t>
  </si>
  <si>
    <t>2400739</t>
  </si>
  <si>
    <t>Computers &amp; Equip - ADMIN</t>
  </si>
  <si>
    <t>Computers &amp; Equip - BUSINESS SVCS</t>
  </si>
  <si>
    <t>Computers &amp; Equip - CENTRAL SVCS</t>
  </si>
  <si>
    <t>Total Computer Equipment</t>
  </si>
  <si>
    <t>Furniture &amp; Fixtures:</t>
  </si>
  <si>
    <t>1100733</t>
  </si>
  <si>
    <t>Furniture - REG</t>
  </si>
  <si>
    <t>Furniture - SPED</t>
  </si>
  <si>
    <t>Furniture-Clerical - ADMIN</t>
  </si>
  <si>
    <t>Furniture-Clerical - CENTRAL SVCS</t>
  </si>
  <si>
    <t>Total Furniture &amp; Fixtures</t>
  </si>
  <si>
    <t>Insurance:</t>
  </si>
  <si>
    <t>Insurance-Liability - BOD</t>
  </si>
  <si>
    <t>2311524</t>
  </si>
  <si>
    <t>Insurance-D&amp;O - BOD</t>
  </si>
  <si>
    <t>Insurance-Liability - OPS &amp; MAINT</t>
  </si>
  <si>
    <t>Insurance-Property - OPS &amp; MAINT</t>
  </si>
  <si>
    <t>Total Insurance</t>
  </si>
  <si>
    <t>Printing &amp; Binding:</t>
  </si>
  <si>
    <t>2310550</t>
  </si>
  <si>
    <t>Printing &amp; Binding - BOD</t>
  </si>
  <si>
    <t>2490550</t>
  </si>
  <si>
    <t>Printing &amp; Binding - ADMIN</t>
  </si>
  <si>
    <t>Printing &amp; Binding - BUSINESS SVCS</t>
  </si>
  <si>
    <t>2823550</t>
  </si>
  <si>
    <t>Printing &amp; Binding - PUBLIC INFO</t>
  </si>
  <si>
    <t>Printing &amp; Binding - Recruitment/Placement</t>
  </si>
  <si>
    <t>Total Printing &amp; Binding</t>
  </si>
  <si>
    <t>Professional &amp; Technical Services:</t>
  </si>
  <si>
    <t>1100320</t>
  </si>
  <si>
    <t>Purchased Educational Services - REG</t>
  </si>
  <si>
    <t>1210320</t>
  </si>
  <si>
    <t>Purchased Educational Services - SPED</t>
  </si>
  <si>
    <t>2230320</t>
  </si>
  <si>
    <t>Professional Development - INSTR STAFF</t>
  </si>
  <si>
    <t>Professional Development - Admin</t>
  </si>
  <si>
    <t>Professional Development - Business Service</t>
  </si>
  <si>
    <t>2514340</t>
  </si>
  <si>
    <t>Payroll Service - BUSINESS SVCS</t>
  </si>
  <si>
    <t>2515333</t>
  </si>
  <si>
    <t>Audit/Accounting - BUSINESS SVCS</t>
  </si>
  <si>
    <t>2823340</t>
  </si>
  <si>
    <t>Marketing &amp; Website - CENTRAL SVCS</t>
  </si>
  <si>
    <t>2830340</t>
  </si>
  <si>
    <t>Fingerprinting &amp; Background Check - CENTRAL SVCS</t>
  </si>
  <si>
    <t>Total Professional &amp; Technical Services</t>
  </si>
  <si>
    <t>Purchased Property Services:</t>
  </si>
  <si>
    <t>2620411</t>
  </si>
  <si>
    <t>Water/Sewage - OPS &amp; MAINT</t>
  </si>
  <si>
    <t>2620421</t>
  </si>
  <si>
    <t>Disposal Services - OPS &amp; MAINT</t>
  </si>
  <si>
    <t>2620423</t>
  </si>
  <si>
    <t>Custodial Services - OPS &amp; MAINT</t>
  </si>
  <si>
    <t>2620430</t>
  </si>
  <si>
    <t>Repairs &amp; Maintenance-Bldg - OPS &amp; MAINT</t>
  </si>
  <si>
    <t>2630424</t>
  </si>
  <si>
    <t>Care &amp; Upkeep of Grounds - OPS &amp; MAINT</t>
  </si>
  <si>
    <t>Operations &amp; Maintenance</t>
  </si>
  <si>
    <t>Salaries - BUSINESS SVCS</t>
  </si>
  <si>
    <t>Total Salaries</t>
  </si>
  <si>
    <t>Employee Benefits:</t>
  </si>
  <si>
    <t>1100210</t>
  </si>
  <si>
    <t>Group Health Insurance - Teachers REG</t>
  </si>
  <si>
    <t>1200210</t>
  </si>
  <si>
    <t>Group Health Insurance - Teachers SPED</t>
  </si>
  <si>
    <t>2410210</t>
  </si>
  <si>
    <t>Group Health Insurance-Principal</t>
  </si>
  <si>
    <t>2420210</t>
  </si>
  <si>
    <t>Group Health Insurance-Assistant Principal</t>
  </si>
  <si>
    <t>Group Health Insurance-Pupil Support</t>
  </si>
  <si>
    <t>Group Health Insurance-Guidance Services</t>
  </si>
  <si>
    <t>Group Health Insurance-Health Services</t>
  </si>
  <si>
    <t>Group Health Insurance-Inst Staff Services</t>
  </si>
  <si>
    <t>Group Health Insurance- Ops &amp; Maint Services</t>
  </si>
  <si>
    <t>2500210</t>
  </si>
  <si>
    <t>Group Health Insurance - Business Svcs</t>
  </si>
  <si>
    <t>Total Group Health Insurance</t>
  </si>
  <si>
    <t>Medicare:</t>
  </si>
  <si>
    <t>Medicare - REG</t>
  </si>
  <si>
    <t>Medicare - SPED</t>
  </si>
  <si>
    <t>Medicare - Principal ADMIN</t>
  </si>
  <si>
    <t>Medicare - Assistant Princiapl ADMIN</t>
  </si>
  <si>
    <t>Medicare Pupil Support Services</t>
  </si>
  <si>
    <t>Medicare Guidance Services</t>
  </si>
  <si>
    <t>Medicare Health Services</t>
  </si>
  <si>
    <t>Medicare Instructional Staff Services</t>
  </si>
  <si>
    <t>Medicare Operations &amp; Maintenance</t>
  </si>
  <si>
    <t>Medicare - BUSINESS SVCS</t>
  </si>
  <si>
    <t>Total Medicare</t>
  </si>
  <si>
    <t>Social Security</t>
  </si>
  <si>
    <t>Social Security - REG</t>
  </si>
  <si>
    <t>Social Security - SPED</t>
  </si>
  <si>
    <t>Social Security - Principal ADMIN</t>
  </si>
  <si>
    <t>Social Security - Assistant Princiapl ADMIN</t>
  </si>
  <si>
    <t>Social Security Pupil Support Services</t>
  </si>
  <si>
    <t>Social Security Guidance Services</t>
  </si>
  <si>
    <t>Social Security Health Services</t>
  </si>
  <si>
    <t>Social Security Instructional Staff Services</t>
  </si>
  <si>
    <t>Social Security Operations &amp; Maintenance</t>
  </si>
  <si>
    <t>Social Security - BUSINESS SVCS</t>
  </si>
  <si>
    <t>Total Social Security</t>
  </si>
  <si>
    <t>SUTA</t>
  </si>
  <si>
    <t>SUTA - REG</t>
  </si>
  <si>
    <t>SUTA - SPED</t>
  </si>
  <si>
    <t>SUTA - Principal ADMIN</t>
  </si>
  <si>
    <t>SUTA - Assistant Princiapl ADMIN</t>
  </si>
  <si>
    <t>SUTA Clerical/Secretarial - ADMIN</t>
  </si>
  <si>
    <t>SUTA Pupil Support Services</t>
  </si>
  <si>
    <t>SUTA Guidance Services</t>
  </si>
  <si>
    <t>SUTA Health Services</t>
  </si>
  <si>
    <t>SUTA Instructional Staff Services</t>
  </si>
  <si>
    <t>SUTA Operations &amp; Maintenance</t>
  </si>
  <si>
    <t>SUTA - BUSINESS SVCS</t>
  </si>
  <si>
    <t>Total SUTA</t>
  </si>
  <si>
    <t>Bus Service - Student Transport</t>
  </si>
  <si>
    <t>Bus Service - Student Transport SPED</t>
  </si>
  <si>
    <t>Bus Service - Field Trips</t>
  </si>
  <si>
    <t>Total Transportation</t>
  </si>
  <si>
    <t>Title IV</t>
  </si>
  <si>
    <t>Parapros - K-3 Reading/Math</t>
  </si>
  <si>
    <t>SUBTOTAL - 115-1110</t>
  </si>
  <si>
    <t>Project:  4541  (K-3)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</si>
  <si>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</si>
  <si>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</si>
  <si>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</si>
  <si>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</si>
  <si>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</si>
  <si>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</si>
  <si>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</si>
  <si>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</si>
  <si>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</si>
  <si>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</si>
  <si>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</si>
  <si>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</si>
  <si>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Amount</t>
  </si>
  <si>
    <t>General</t>
  </si>
  <si>
    <t>Title II</t>
  </si>
  <si>
    <t>IDEA</t>
  </si>
  <si>
    <t>Total</t>
  </si>
  <si>
    <t>REVENUE:</t>
  </si>
  <si>
    <t>Revenue From Local Sources:</t>
  </si>
  <si>
    <t>Local Public School Fund</t>
  </si>
  <si>
    <t>Earnings on Investment</t>
  </si>
  <si>
    <t>Food Service Income</t>
  </si>
  <si>
    <t>Community Service Activity</t>
  </si>
  <si>
    <t>Other Revenue from Local Sources</t>
  </si>
  <si>
    <t>Contributions &amp; Donations</t>
  </si>
  <si>
    <t>Books &amp; Supplies Sold</t>
  </si>
  <si>
    <t>Miscellaneous Local Income</t>
  </si>
  <si>
    <t>Revenue From Local Sources</t>
  </si>
  <si>
    <t>Revenue From State Sources:</t>
  </si>
  <si>
    <t>Unrestricted Grant in Aid</t>
  </si>
  <si>
    <t>State Public School Fund</t>
  </si>
  <si>
    <t>3190-1</t>
  </si>
  <si>
    <t>Certificated Payraise</t>
  </si>
  <si>
    <t>3190-2</t>
  </si>
  <si>
    <t>Non-Certificated Payraise</t>
  </si>
  <si>
    <t>Education Support Fund</t>
  </si>
  <si>
    <t>Other Restricted Revenues</t>
  </si>
  <si>
    <t>Revenue From State Sources</t>
  </si>
  <si>
    <t>Revenue From Federal Sources:</t>
  </si>
  <si>
    <t>Unrestricted Grant in Aid - Impact Aid Fund</t>
  </si>
  <si>
    <t>Restricted Grant in Aid from Federal Gov't</t>
  </si>
  <si>
    <t>Special Education:IDEA-Part B</t>
  </si>
  <si>
    <t>Special Education:IDEA - Preschool</t>
  </si>
  <si>
    <t>Special Education:Other Programs</t>
  </si>
  <si>
    <t>No Child Left Behind-IASA:</t>
  </si>
  <si>
    <t xml:space="preserve">     Title I Grants to Local Ed</t>
  </si>
  <si>
    <t xml:space="preserve">     Title I, Part C Migrant</t>
  </si>
  <si>
    <t xml:space="preserve">     Title VI Innovative Edu. Prog.</t>
  </si>
  <si>
    <t xml:space="preserve">     Title IV-Safe &amp; Drug Free</t>
  </si>
  <si>
    <t xml:space="preserve">     Title II-Teacher/Principal Training</t>
  </si>
  <si>
    <t xml:space="preserve">     Other IASA Programs</t>
  </si>
  <si>
    <t>Other Restricted Grants - Fed through State</t>
  </si>
  <si>
    <t>PCSP (Public Charter School Program)</t>
  </si>
  <si>
    <t>Revenue From Federal Sources</t>
  </si>
  <si>
    <t>Other Revenues:</t>
  </si>
  <si>
    <t>Markup</t>
  </si>
  <si>
    <t>Services</t>
  </si>
  <si>
    <t>Shipping Income</t>
  </si>
  <si>
    <t>Other Revenues</t>
  </si>
  <si>
    <t>TOTAL REVENUE</t>
  </si>
  <si>
    <t>EXPENSES:</t>
  </si>
  <si>
    <t>Salaries:</t>
  </si>
  <si>
    <t>Teacher Salaries - REG</t>
  </si>
  <si>
    <t>1210112</t>
  </si>
  <si>
    <t>Teacher Salaries -SPED</t>
  </si>
  <si>
    <t>Principal Salaries - ADMIN</t>
  </si>
  <si>
    <t>Assistant Principal Salaries - ADMIN</t>
  </si>
  <si>
    <t>Clerical/Secretarial Salaries - ADMIN</t>
  </si>
  <si>
    <t>Pupil Support Services</t>
  </si>
  <si>
    <t>Guidance Services</t>
  </si>
  <si>
    <t>Health Services</t>
  </si>
  <si>
    <t>Instructional Staff Services</t>
  </si>
  <si>
    <t xml:space="preserve"> </t>
  </si>
  <si>
    <t>Contributions and Donations</t>
  </si>
  <si>
    <t>School Food Service</t>
  </si>
  <si>
    <t>Special Education</t>
  </si>
  <si>
    <t>Legal Services</t>
  </si>
  <si>
    <t>Description</t>
  </si>
  <si>
    <t>Medicare - K</t>
  </si>
  <si>
    <t>Electricity</t>
  </si>
  <si>
    <t>Natural Gas</t>
  </si>
  <si>
    <t>Professional Improvement Program (PIP)</t>
  </si>
  <si>
    <t>McDonogh City Park Academy</t>
  </si>
  <si>
    <t>Spec. Educ. Teacher</t>
  </si>
  <si>
    <t>TOTALS</t>
  </si>
  <si>
    <t>SUBTOTAL - 112-1105</t>
  </si>
  <si>
    <t>SUBTOTAL - 112-1110</t>
  </si>
  <si>
    <t>SUBTOTAL - 112-1210</t>
  </si>
  <si>
    <t>SUBTOTAL - 115-1210</t>
  </si>
  <si>
    <t>SUBTOTAL - 111-2211</t>
  </si>
  <si>
    <t>SUBTOTAL - 111, 114-2410</t>
  </si>
  <si>
    <t>7 hours</t>
  </si>
  <si>
    <t>185 days</t>
  </si>
  <si>
    <t>7 hrs</t>
  </si>
  <si>
    <t>260 days</t>
  </si>
  <si>
    <t>Title I</t>
  </si>
  <si>
    <t>Location:  MCPA</t>
  </si>
  <si>
    <t>Job:  Teacher</t>
  </si>
  <si>
    <t>Department:  ELEM</t>
  </si>
  <si>
    <t>Job:  AideHQ</t>
  </si>
  <si>
    <t>112-1110</t>
  </si>
  <si>
    <t>Department:  SPECED</t>
  </si>
  <si>
    <t>112-1210</t>
  </si>
  <si>
    <t>FUNCTION</t>
  </si>
  <si>
    <t>EMPLOYEE</t>
  </si>
  <si>
    <t>BONUS</t>
  </si>
  <si>
    <t>Principal Office</t>
  </si>
  <si>
    <t>Bi Week</t>
  </si>
  <si>
    <t>115-1110</t>
  </si>
  <si>
    <t xml:space="preserve">Mitchell, Christine </t>
  </si>
  <si>
    <t>Proctor, Deanna  (4th)</t>
  </si>
  <si>
    <t xml:space="preserve">Jones, Kendria (Math/Science) </t>
  </si>
  <si>
    <t xml:space="preserve">Louapre, Alexis (Art)   </t>
  </si>
  <si>
    <t xml:space="preserve">Expose', Monique (3rd) </t>
  </si>
  <si>
    <t>112-1105</t>
  </si>
  <si>
    <t>Project:  4531  IDEA portion</t>
  </si>
  <si>
    <t>Jackson, Jacques</t>
  </si>
  <si>
    <t>Johnson, Francis</t>
  </si>
  <si>
    <t>Celestine, Keneesha (Tech)</t>
  </si>
  <si>
    <t>Medicare/WC</t>
  </si>
  <si>
    <t>SunLife/MW</t>
  </si>
  <si>
    <t>Pay Raise</t>
  </si>
  <si>
    <t>State Base</t>
  </si>
  <si>
    <t>Total State</t>
  </si>
  <si>
    <t>Edujobs</t>
  </si>
  <si>
    <t>Variance</t>
  </si>
  <si>
    <t>Comparison to PY</t>
  </si>
  <si>
    <t>MFP net here</t>
  </si>
  <si>
    <t>admin fee shown net of MFP revenue</t>
  </si>
  <si>
    <t>Children's Bureau</t>
  </si>
  <si>
    <t>Ward, Kevin (7th/8th ELA)</t>
  </si>
  <si>
    <t>Alternative School</t>
  </si>
  <si>
    <t>Professional Development</t>
  </si>
  <si>
    <t>Title II 300</t>
  </si>
  <si>
    <t>Total 300</t>
  </si>
  <si>
    <t>Total 400</t>
  </si>
  <si>
    <t>Total 500</t>
  </si>
  <si>
    <t>Title II 500</t>
  </si>
  <si>
    <t>HPSI 500</t>
  </si>
  <si>
    <t>Life/Disb Dental/Vision</t>
  </si>
  <si>
    <t>Current Year</t>
  </si>
  <si>
    <t>FY2010-2011 YTD w/forecast</t>
  </si>
  <si>
    <t>Hired additional staff</t>
  </si>
  <si>
    <t>Will no longer have the Outreach program</t>
  </si>
  <si>
    <t>Painting building</t>
  </si>
  <si>
    <t>Property insurance</t>
  </si>
  <si>
    <t>Grants used to purchase supplies not received FY12</t>
  </si>
  <si>
    <t>Not renewing all memberships</t>
  </si>
  <si>
    <t>Approx 6% overall increase</t>
  </si>
  <si>
    <t>JPAMS</t>
  </si>
  <si>
    <t>Network Coordinator</t>
  </si>
  <si>
    <t>$25/hour 20 hrs/week</t>
  </si>
  <si>
    <t>Total 300, 400, 500 &amp; it ties to contract summary</t>
  </si>
  <si>
    <t>Hills, Robin (5th/6th SocStud)</t>
  </si>
  <si>
    <t>Gerald Posey</t>
  </si>
  <si>
    <t>GF</t>
  </si>
  <si>
    <t>SR</t>
  </si>
  <si>
    <t>118-2134</t>
  </si>
  <si>
    <t>TRSL 24.5%</t>
  </si>
  <si>
    <t>Hardy, Rebecca</t>
  </si>
  <si>
    <t>Sampson, Dionnalynn</t>
  </si>
  <si>
    <t>2013 Proposed Salary</t>
  </si>
  <si>
    <t>SPED - Schnexnayder, T.</t>
  </si>
  <si>
    <t>Chase, Rebecca</t>
  </si>
  <si>
    <t>Hebert, Shelia</t>
  </si>
  <si>
    <t>Vacancy (7th/8th Science)</t>
  </si>
  <si>
    <t>Vacancy (5th/6th Science)</t>
  </si>
  <si>
    <t>Vacancy (7th/8th Soc. Studies)</t>
  </si>
  <si>
    <t xml:space="preserve">Moore, Michael  </t>
  </si>
  <si>
    <t>Reliable Security</t>
  </si>
  <si>
    <t>3 cell phones</t>
  </si>
  <si>
    <t xml:space="preserve">Carr, Patricia  (4th) </t>
  </si>
  <si>
    <t xml:space="preserve">Vacancy (3rd)  </t>
  </si>
  <si>
    <t>119-2211</t>
  </si>
  <si>
    <t>Office Clerk - Vacancy</t>
  </si>
  <si>
    <t>112-2242</t>
  </si>
  <si>
    <t>SPED - Vacancy</t>
  </si>
  <si>
    <t>GF - Vacancy</t>
  </si>
  <si>
    <t xml:space="preserve">Howard, Alexandra </t>
  </si>
  <si>
    <t>GF - Harrison, Daisy (Reading)</t>
  </si>
  <si>
    <t>FY11-12 MFP (Excluding Edujobs)</t>
  </si>
  <si>
    <t>contingency</t>
  </si>
  <si>
    <t>Oct 12</t>
  </si>
  <si>
    <t>Feb 13</t>
  </si>
  <si>
    <t xml:space="preserve">Employee Benefits </t>
  </si>
  <si>
    <t>includes increase assumption?</t>
  </si>
  <si>
    <t>PY avg $8,943</t>
  </si>
  <si>
    <t>based on 402</t>
  </si>
  <si>
    <t>Monthly S&amp;L Pymt</t>
  </si>
  <si>
    <t>7/12-11/12</t>
  </si>
  <si>
    <t>12/12-2/13</t>
  </si>
  <si>
    <t>3/13-6/13</t>
  </si>
  <si>
    <t>FY2012-2013 Consolidated Budget Summary</t>
  </si>
  <si>
    <t>Net Surplus Before Dep</t>
  </si>
  <si>
    <t>Net Surplus After Dep</t>
  </si>
  <si>
    <t>Est. hrs per month</t>
  </si>
  <si>
    <t>Carmelite Price</t>
  </si>
  <si>
    <t>Board Minutes</t>
  </si>
  <si>
    <t>Commtech</t>
  </si>
  <si>
    <t>Millenium</t>
  </si>
  <si>
    <t>Entergy</t>
  </si>
  <si>
    <t>General Fund 600</t>
  </si>
  <si>
    <t>Total 600</t>
  </si>
  <si>
    <t>Robinson, Tyronn</t>
  </si>
  <si>
    <t>Vacancy (5th/6th Math)</t>
  </si>
  <si>
    <t xml:space="preserve">Vacancy (1st)  </t>
  </si>
  <si>
    <t>Vacancy</t>
  </si>
  <si>
    <t>FY2012-2013 Allocation</t>
  </si>
  <si>
    <t>IDEA 500</t>
  </si>
  <si>
    <t>IDEA 600</t>
  </si>
  <si>
    <t>IDEA PreSchool</t>
  </si>
  <si>
    <t>Office Supplies</t>
  </si>
  <si>
    <t xml:space="preserve">Stipends </t>
  </si>
  <si>
    <t>Contingency</t>
  </si>
  <si>
    <t>Transportation</t>
  </si>
  <si>
    <t>TFA</t>
  </si>
  <si>
    <t>Mozy Pro</t>
  </si>
  <si>
    <t>Veteran Teacher Addidions</t>
  </si>
  <si>
    <t>Carr, Riggs &amp; Ingram</t>
  </si>
  <si>
    <t>TBN</t>
  </si>
  <si>
    <t>GF - Moore, L.</t>
  </si>
  <si>
    <t>Medicaid</t>
  </si>
  <si>
    <t>Interest on Deposits</t>
  </si>
  <si>
    <t>Property/Liability Insurance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</si>
</sst>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* #,##0.00"/>
    <numFmt numFmtId="168" formatCode="_(* #,##0.0_);_(* \(#,##0.0\);_(* &quot;-&quot;??_);_(@_)"/>
    <numFmt numFmtId="169" formatCode="#,##0.0"/>
    <numFmt numFmtId="170" formatCode="_(* #,##0.0000_);_(* \(#,##0.0000\);_(* &quot;-&quot;????_);_(@_)"/>
    <numFmt numFmtId="171" formatCode="_(* #,##0.000_);_(* \(#,##0.000\);_(* &quot;-&quot;???_);_(@_)"/>
    <numFmt numFmtId="172" formatCode="_(* #,##0.0_);_(* \(#,##0.0\);_(* &quot;-&quot;?_);_(@_)"/>
    <numFmt numFmtId="173" formatCode="_(* #,##0_);_(* \(#,##0\);_(* &quot;-&quot;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_);_(* \(#,##0.0\);_(* &quot;-&quot;_);_(@_)"/>
    <numFmt numFmtId="177" formatCode="_(* #,##0.00_);_(* \(#,##0.00\);_(* &quot;-&quot;_);_(@_)"/>
    <numFmt numFmtId="178" formatCode="0.0"/>
    <numFmt numFmtId="179" formatCode="_(* #,##0.000_);_(* \(#,##0.000\);_(* &quot;-&quot;_);_(@_)"/>
    <numFmt numFmtId="180" formatCode="_(* #,##0.000_);_(* \(#,##0.000\);_(* &quot;-&quot;??_);_(@_)"/>
    <numFmt numFmtId="181" formatCode="_(* #,##0.0000_);_(* \(#,##0.0000\);_(* &quot;-&quot;??_);_(@_)"/>
    <numFmt numFmtId="182" formatCode="0.0000E+00"/>
    <numFmt numFmtId="183" formatCode="0.000E+00"/>
    <numFmt numFmtId="184" formatCode="0.0E+00"/>
    <numFmt numFmtId="185" formatCode="0E+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Verdana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9"/>
      <name val="Tahoma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10"/>
      <color indexed="36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8"/>
      <color indexed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/>
    </xf>
    <xf numFmtId="49" fontId="3" fillId="22" borderId="10" xfId="0" applyNumberFormat="1" applyFont="1" applyFill="1" applyBorder="1" applyAlignment="1">
      <alignment horizontal="left"/>
    </xf>
    <xf numFmtId="41" fontId="3" fillId="22" borderId="10" xfId="0" applyNumberFormat="1" applyFont="1" applyFill="1" applyBorder="1" applyAlignment="1">
      <alignment horizontal="center"/>
    </xf>
    <xf numFmtId="9" fontId="3" fillId="2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41" fontId="0" fillId="0" borderId="1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41" fontId="3" fillId="2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41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1" fontId="3" fillId="0" borderId="10" xfId="0" applyNumberFormat="1" applyFont="1" applyBorder="1" applyAlignment="1">
      <alignment horizontal="center"/>
    </xf>
    <xf numFmtId="0" fontId="3" fillId="22" borderId="10" xfId="0" applyFont="1" applyFill="1" applyBorder="1" applyAlignment="1">
      <alignment horizontal="left"/>
    </xf>
    <xf numFmtId="41" fontId="0" fillId="22" borderId="10" xfId="0" applyNumberFormat="1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0" fontId="0" fillId="22" borderId="10" xfId="0" applyFont="1" applyFill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0" fontId="3" fillId="4" borderId="10" xfId="0" applyFont="1" applyFill="1" applyBorder="1" applyAlignment="1">
      <alignment horizontal="center"/>
    </xf>
    <xf numFmtId="41" fontId="3" fillId="4" borderId="10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41" fontId="3" fillId="22" borderId="1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9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1" fontId="9" fillId="0" borderId="10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1" fontId="0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4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 horizontal="left"/>
    </xf>
    <xf numFmtId="4" fontId="13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 horizontal="left"/>
    </xf>
    <xf numFmtId="0" fontId="14" fillId="0" borderId="0" xfId="0" applyFont="1" applyAlignment="1">
      <alignment/>
    </xf>
    <xf numFmtId="4" fontId="12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" fontId="15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/>
    </xf>
    <xf numFmtId="0" fontId="12" fillId="0" borderId="0" xfId="0" applyNumberFormat="1" applyFont="1" applyAlignment="1">
      <alignment/>
    </xf>
    <xf numFmtId="0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165" fontId="0" fillId="0" borderId="0" xfId="42" applyNumberFormat="1" applyFont="1" applyFill="1" applyAlignment="1">
      <alignment horizontal="left"/>
    </xf>
    <xf numFmtId="0" fontId="0" fillId="0" borderId="0" xfId="42" applyNumberFormat="1" applyFont="1" applyFill="1" applyAlignment="1">
      <alignment horizontal="left"/>
    </xf>
    <xf numFmtId="165" fontId="12" fillId="0" borderId="0" xfId="42" applyNumberFormat="1" applyFont="1" applyAlignment="1">
      <alignment/>
    </xf>
    <xf numFmtId="0" fontId="12" fillId="0" borderId="0" xfId="42" applyNumberFormat="1" applyFont="1" applyFill="1" applyAlignment="1">
      <alignment horizontal="left"/>
    </xf>
    <xf numFmtId="0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49" fontId="12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165" fontId="0" fillId="0" borderId="0" xfId="0" applyNumberFormat="1" applyAlignment="1">
      <alignment/>
    </xf>
    <xf numFmtId="167" fontId="12" fillId="0" borderId="0" xfId="0" applyNumberFormat="1" applyFont="1" applyFill="1" applyAlignment="1">
      <alignment horizontal="left"/>
    </xf>
    <xf numFmtId="165" fontId="1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/>
    </xf>
    <xf numFmtId="165" fontId="12" fillId="0" borderId="0" xfId="42" applyNumberFormat="1" applyFont="1" applyAlignment="1">
      <alignment/>
    </xf>
    <xf numFmtId="1" fontId="0" fillId="0" borderId="0" xfId="0" applyNumberFormat="1" applyFont="1" applyFill="1" applyAlignment="1">
      <alignment horizontal="left"/>
    </xf>
    <xf numFmtId="165" fontId="7" fillId="0" borderId="0" xfId="42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/>
    </xf>
    <xf numFmtId="165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3" fontId="0" fillId="0" borderId="0" xfId="0" applyNumberFormat="1" applyAlignment="1">
      <alignment/>
    </xf>
    <xf numFmtId="37" fontId="12" fillId="0" borderId="0" xfId="0" applyNumberFormat="1" applyFont="1" applyAlignment="1">
      <alignment/>
    </xf>
    <xf numFmtId="37" fontId="0" fillId="0" borderId="0" xfId="0" applyNumberFormat="1" applyFill="1" applyAlignment="1">
      <alignment/>
    </xf>
    <xf numFmtId="41" fontId="11" fillId="24" borderId="1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0" xfId="0" applyNumberFormat="1" applyFont="1" applyFill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11" xfId="42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65" fontId="0" fillId="0" borderId="11" xfId="0" applyNumberFormat="1" applyBorder="1" applyAlignment="1">
      <alignment/>
    </xf>
    <xf numFmtId="43" fontId="0" fillId="0" borderId="0" xfId="42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21" borderId="0" xfId="42" applyNumberFormat="1" applyFont="1" applyFill="1" applyAlignment="1" quotePrefix="1">
      <alignment horizontal="center"/>
    </xf>
    <xf numFmtId="165" fontId="1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3" fontId="21" fillId="0" borderId="0" xfId="42" applyFont="1" applyAlignment="1">
      <alignment/>
    </xf>
    <xf numFmtId="0" fontId="0" fillId="8" borderId="0" xfId="0" applyFill="1" applyAlignment="1">
      <alignment/>
    </xf>
    <xf numFmtId="43" fontId="0" fillId="8" borderId="0" xfId="42" applyFont="1" applyFill="1" applyAlignment="1">
      <alignment/>
    </xf>
    <xf numFmtId="165" fontId="0" fillId="8" borderId="0" xfId="0" applyNumberFormat="1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4" fontId="0" fillId="0" borderId="0" xfId="44" applyFont="1" applyAlignment="1">
      <alignment/>
    </xf>
    <xf numFmtId="0" fontId="0" fillId="0" borderId="12" xfId="0" applyBorder="1" applyAlignment="1">
      <alignment/>
    </xf>
    <xf numFmtId="43" fontId="0" fillId="0" borderId="13" xfId="42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0" fillId="0" borderId="18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1" fontId="3" fillId="0" borderId="11" xfId="0" applyNumberFormat="1" applyFont="1" applyFill="1" applyBorder="1" applyAlignment="1">
      <alignment horizontal="center" vertical="center" wrapText="1"/>
    </xf>
    <xf numFmtId="41" fontId="11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41" fontId="0" fillId="20" borderId="0" xfId="0" applyNumberFormat="1" applyFont="1" applyFill="1" applyBorder="1" applyAlignment="1">
      <alignment/>
    </xf>
    <xf numFmtId="0" fontId="23" fillId="0" borderId="0" xfId="0" applyNumberFormat="1" applyFont="1" applyFill="1" applyAlignment="1">
      <alignment horizontal="left"/>
    </xf>
    <xf numFmtId="165" fontId="24" fillId="0" borderId="0" xfId="42" applyNumberFormat="1" applyFont="1" applyAlignment="1">
      <alignment/>
    </xf>
    <xf numFmtId="165" fontId="24" fillId="0" borderId="0" xfId="42" applyNumberFormat="1" applyFont="1" applyFill="1" applyAlignment="1">
      <alignment/>
    </xf>
    <xf numFmtId="0" fontId="24" fillId="0" borderId="0" xfId="0" applyFont="1" applyAlignment="1">
      <alignment/>
    </xf>
    <xf numFmtId="165" fontId="23" fillId="0" borderId="0" xfId="42" applyNumberFormat="1" applyFont="1" applyAlignment="1">
      <alignment/>
    </xf>
    <xf numFmtId="0" fontId="2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44" fontId="0" fillId="0" borderId="0" xfId="44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0" fillId="0" borderId="11" xfId="0" applyFont="1" applyBorder="1" applyAlignment="1">
      <alignment horizontal="center" wrapText="1"/>
    </xf>
    <xf numFmtId="165" fontId="10" fillId="0" borderId="11" xfId="42" applyNumberFormat="1" applyFont="1" applyBorder="1" applyAlignment="1">
      <alignment horizontal="center" wrapText="1"/>
    </xf>
    <xf numFmtId="43" fontId="10" fillId="0" borderId="11" xfId="42" applyFont="1" applyBorder="1" applyAlignment="1">
      <alignment horizontal="center" wrapText="1"/>
    </xf>
    <xf numFmtId="3" fontId="0" fillId="0" borderId="0" xfId="0" applyNumberFormat="1" applyFill="1" applyAlignment="1">
      <alignment/>
    </xf>
    <xf numFmtId="165" fontId="11" fillId="0" borderId="0" xfId="42" applyNumberFormat="1" applyFont="1" applyAlignment="1">
      <alignment/>
    </xf>
    <xf numFmtId="37" fontId="11" fillId="0" borderId="0" xfId="0" applyNumberFormat="1" applyFont="1" applyAlignment="1">
      <alignment/>
    </xf>
    <xf numFmtId="37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165" fontId="3" fillId="0" borderId="0" xfId="42" applyNumberFormat="1" applyFont="1" applyAlignment="1">
      <alignment/>
    </xf>
    <xf numFmtId="37" fontId="3" fillId="0" borderId="0" xfId="0" applyNumberFormat="1" applyFont="1" applyAlignment="1">
      <alignment/>
    </xf>
    <xf numFmtId="173" fontId="0" fillId="0" borderId="0" xfId="0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0" fontId="0" fillId="0" borderId="0" xfId="59" applyNumberFormat="1" applyFont="1" applyAlignment="1">
      <alignment/>
    </xf>
    <xf numFmtId="165" fontId="3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0" fontId="9" fillId="20" borderId="11" xfId="0" applyFont="1" applyFill="1" applyBorder="1" applyAlignment="1" applyProtection="1">
      <alignment horizontal="center" wrapText="1"/>
      <protection locked="0"/>
    </xf>
    <xf numFmtId="41" fontId="0" fillId="0" borderId="0" xfId="0" applyNumberFormat="1" applyFill="1" applyAlignment="1">
      <alignment/>
    </xf>
    <xf numFmtId="165" fontId="24" fillId="0" borderId="0" xfId="42" applyNumberFormat="1" applyFont="1" applyAlignment="1">
      <alignment/>
    </xf>
    <xf numFmtId="165" fontId="12" fillId="0" borderId="0" xfId="42" applyNumberFormat="1" applyFont="1" applyFill="1" applyAlignment="1">
      <alignment/>
    </xf>
    <xf numFmtId="165" fontId="0" fillId="25" borderId="0" xfId="42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165" fontId="0" fillId="0" borderId="0" xfId="42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42" applyNumberFormat="1" applyFont="1" applyFill="1" applyAlignment="1">
      <alignment horizontal="right"/>
    </xf>
    <xf numFmtId="0" fontId="0" fillId="0" borderId="0" xfId="42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65" fontId="11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165" fontId="0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Border="1" applyAlignment="1">
      <alignment/>
    </xf>
    <xf numFmtId="175" fontId="21" fillId="0" borderId="0" xfId="44" applyNumberFormat="1" applyFont="1" applyAlignment="1">
      <alignment/>
    </xf>
    <xf numFmtId="165" fontId="12" fillId="0" borderId="11" xfId="42" applyNumberFormat="1" applyFont="1" applyBorder="1" applyAlignment="1">
      <alignment/>
    </xf>
    <xf numFmtId="165" fontId="0" fillId="0" borderId="0" xfId="42" applyNumberFormat="1" applyFont="1" applyFill="1" applyBorder="1" applyAlignment="1">
      <alignment/>
    </xf>
    <xf numFmtId="41" fontId="0" fillId="26" borderId="10" xfId="0" applyNumberFormat="1" applyFont="1" applyFill="1" applyBorder="1" applyAlignment="1">
      <alignment horizontal="center"/>
    </xf>
    <xf numFmtId="165" fontId="0" fillId="12" borderId="0" xfId="42" applyNumberFormat="1" applyFont="1" applyFill="1" applyAlignment="1">
      <alignment/>
    </xf>
    <xf numFmtId="0" fontId="0" fillId="12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9" fontId="0" fillId="0" borderId="18" xfId="0" applyNumberFormat="1" applyFont="1" applyBorder="1" applyAlignment="1" quotePrefix="1">
      <alignment horizontal="center"/>
    </xf>
    <xf numFmtId="9" fontId="0" fillId="12" borderId="18" xfId="0" applyNumberFormat="1" applyFont="1" applyFill="1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12" borderId="0" xfId="0" applyFill="1" applyAlignment="1">
      <alignment horizontal="center"/>
    </xf>
    <xf numFmtId="43" fontId="0" fillId="0" borderId="0" xfId="0" applyNumberFormat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16" fontId="0" fillId="0" borderId="11" xfId="42" applyNumberFormat="1" applyFont="1" applyBorder="1" applyAlignment="1">
      <alignment horizontal="center" wrapText="1"/>
    </xf>
    <xf numFmtId="165" fontId="0" fillId="0" borderId="0" xfId="42" applyNumberFormat="1" applyFont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24" borderId="0" xfId="42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4" fillId="0" borderId="0" xfId="0" applyNumberFormat="1" applyFont="1" applyFill="1" applyAlignment="1">
      <alignment horizontal="left"/>
    </xf>
    <xf numFmtId="165" fontId="0" fillId="0" borderId="0" xfId="0" applyNumberFormat="1" applyFill="1" applyAlignment="1">
      <alignment/>
    </xf>
    <xf numFmtId="165" fontId="0" fillId="0" borderId="11" xfId="42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25" borderId="0" xfId="42" applyNumberFormat="1" applyFont="1" applyFill="1" applyAlignment="1">
      <alignment/>
    </xf>
    <xf numFmtId="4" fontId="26" fillId="0" borderId="0" xfId="0" applyNumberFormat="1" applyFont="1" applyFill="1" applyAlignment="1">
      <alignment horizontal="left"/>
    </xf>
    <xf numFmtId="37" fontId="0" fillId="25" borderId="0" xfId="0" applyNumberFormat="1" applyFill="1" applyAlignment="1">
      <alignment/>
    </xf>
    <xf numFmtId="41" fontId="0" fillId="0" borderId="0" xfId="0" applyNumberFormat="1" applyAlignment="1">
      <alignment/>
    </xf>
    <xf numFmtId="4" fontId="0" fillId="25" borderId="0" xfId="0" applyNumberFormat="1" applyFont="1" applyFill="1" applyAlignment="1">
      <alignment horizontal="left"/>
    </xf>
    <xf numFmtId="165" fontId="27" fillId="0" borderId="10" xfId="42" applyNumberFormat="1" applyFont="1" applyBorder="1" applyAlignment="1">
      <alignment/>
    </xf>
    <xf numFmtId="0" fontId="0" fillId="25" borderId="0" xfId="0" applyFill="1" applyAlignment="1">
      <alignment/>
    </xf>
    <xf numFmtId="165" fontId="0" fillId="0" borderId="0" xfId="42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0" fillId="0" borderId="21" xfId="42" applyNumberFormat="1" applyFont="1" applyFill="1" applyBorder="1" applyAlignment="1">
      <alignment/>
    </xf>
    <xf numFmtId="165" fontId="3" fillId="0" borderId="21" xfId="42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165" fontId="3" fillId="0" borderId="21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37" fontId="3" fillId="25" borderId="0" xfId="0" applyNumberFormat="1" applyFont="1" applyFill="1" applyAlignment="1">
      <alignment/>
    </xf>
    <xf numFmtId="165" fontId="3" fillId="25" borderId="0" xfId="42" applyNumberFormat="1" applyFont="1" applyFill="1" applyAlignment="1">
      <alignment/>
    </xf>
    <xf numFmtId="4" fontId="0" fillId="25" borderId="0" xfId="0" applyNumberFormat="1" applyFont="1" applyFill="1" applyAlignment="1">
      <alignment horizontal="left"/>
    </xf>
    <xf numFmtId="3" fontId="3" fillId="25" borderId="0" xfId="0" applyNumberFormat="1" applyFont="1" applyFill="1" applyAlignment="1">
      <alignment/>
    </xf>
    <xf numFmtId="43" fontId="12" fillId="0" borderId="0" xfId="42" applyFont="1" applyAlignment="1">
      <alignment/>
    </xf>
    <xf numFmtId="165" fontId="0" fillId="20" borderId="0" xfId="42" applyNumberFormat="1" applyFont="1" applyFill="1" applyAlignment="1">
      <alignment/>
    </xf>
    <xf numFmtId="37" fontId="0" fillId="20" borderId="0" xfId="0" applyNumberFormat="1" applyFill="1" applyAlignment="1">
      <alignment/>
    </xf>
    <xf numFmtId="167" fontId="0" fillId="20" borderId="0" xfId="0" applyNumberFormat="1" applyFont="1" applyFill="1" applyAlignment="1">
      <alignment horizontal="left"/>
    </xf>
    <xf numFmtId="0" fontId="0" fillId="20" borderId="0" xfId="0" applyFill="1" applyAlignment="1">
      <alignment/>
    </xf>
    <xf numFmtId="0" fontId="3" fillId="20" borderId="0" xfId="0" applyFont="1" applyFill="1" applyAlignment="1">
      <alignment/>
    </xf>
    <xf numFmtId="165" fontId="19" fillId="20" borderId="0" xfId="0" applyNumberFormat="1" applyFont="1" applyFill="1" applyAlignment="1">
      <alignment/>
    </xf>
    <xf numFmtId="165" fontId="19" fillId="20" borderId="0" xfId="42" applyNumberFormat="1" applyFont="1" applyFill="1" applyAlignment="1">
      <alignment/>
    </xf>
    <xf numFmtId="5" fontId="0" fillId="20" borderId="0" xfId="0" applyNumberFormat="1" applyFill="1" applyAlignment="1">
      <alignment/>
    </xf>
    <xf numFmtId="165" fontId="0" fillId="20" borderId="11" xfId="42" applyNumberFormat="1" applyFont="1" applyFill="1" applyBorder="1" applyAlignment="1">
      <alignment/>
    </xf>
    <xf numFmtId="165" fontId="0" fillId="20" borderId="20" xfId="42" applyNumberFormat="1" applyFont="1" applyFill="1" applyBorder="1" applyAlignment="1">
      <alignment/>
    </xf>
    <xf numFmtId="4" fontId="2" fillId="20" borderId="0" xfId="0" applyNumberFormat="1" applyFont="1" applyFill="1" applyAlignment="1">
      <alignment horizontal="left"/>
    </xf>
    <xf numFmtId="165" fontId="27" fillId="0" borderId="10" xfId="42" applyNumberFormat="1" applyFont="1" applyFill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22" xfId="42" applyNumberFormat="1" applyFont="1" applyBorder="1" applyAlignment="1">
      <alignment/>
    </xf>
    <xf numFmtId="165" fontId="0" fillId="0" borderId="23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20" borderId="0" xfId="42" applyNumberFormat="1" applyFont="1" applyFill="1" applyAlignment="1">
      <alignment/>
    </xf>
    <xf numFmtId="165" fontId="7" fillId="0" borderId="0" xfId="42" applyNumberFormat="1" applyFont="1" applyAlignment="1">
      <alignment/>
    </xf>
    <xf numFmtId="0" fontId="0" fillId="24" borderId="10" xfId="0" applyFill="1" applyBorder="1" applyAlignment="1">
      <alignment/>
    </xf>
    <xf numFmtId="165" fontId="0" fillId="0" borderId="0" xfId="42" applyNumberFormat="1" applyFont="1" applyFill="1" applyAlignment="1">
      <alignment/>
    </xf>
    <xf numFmtId="41" fontId="0" fillId="0" borderId="10" xfId="0" applyNumberFormat="1" applyFont="1" applyBorder="1" applyAlignment="1">
      <alignment/>
    </xf>
    <xf numFmtId="41" fontId="0" fillId="22" borderId="10" xfId="0" applyNumberFormat="1" applyFont="1" applyFill="1" applyBorder="1" applyAlignment="1">
      <alignment horizontal="center"/>
    </xf>
    <xf numFmtId="41" fontId="0" fillId="0" borderId="1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165" fontId="0" fillId="0" borderId="0" xfId="0" applyNumberFormat="1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165" fontId="7" fillId="0" borderId="0" xfId="0" applyNumberFormat="1" applyFont="1" applyAlignment="1">
      <alignment/>
    </xf>
    <xf numFmtId="41" fontId="9" fillId="27" borderId="24" xfId="0" applyNumberFormat="1" applyFont="1" applyFill="1" applyBorder="1" applyAlignment="1">
      <alignment horizontal="center" vertical="center" wrapText="1"/>
    </xf>
    <xf numFmtId="10" fontId="9" fillId="27" borderId="10" xfId="0" applyNumberFormat="1" applyFont="1" applyFill="1" applyBorder="1" applyAlignment="1">
      <alignment horizontal="center" vertical="center" wrapText="1"/>
    </xf>
    <xf numFmtId="41" fontId="0" fillId="27" borderId="10" xfId="0" applyNumberFormat="1" applyFont="1" applyFill="1" applyBorder="1" applyAlignment="1">
      <alignment horizontal="center"/>
    </xf>
    <xf numFmtId="165" fontId="0" fillId="0" borderId="21" xfId="0" applyNumberFormat="1" applyBorder="1" applyAlignment="1">
      <alignment/>
    </xf>
    <xf numFmtId="165" fontId="19" fillId="0" borderId="0" xfId="0" applyNumberFormat="1" applyFont="1" applyAlignment="1">
      <alignment/>
    </xf>
    <xf numFmtId="165" fontId="0" fillId="21" borderId="0" xfId="42" applyNumberFormat="1" applyFont="1" applyFill="1" applyAlignment="1">
      <alignment horizontal="center"/>
    </xf>
    <xf numFmtId="0" fontId="0" fillId="0" borderId="11" xfId="0" applyFont="1" applyBorder="1" applyAlignment="1">
      <alignment horizontal="center" wrapText="1"/>
    </xf>
    <xf numFmtId="41" fontId="3" fillId="27" borderId="1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Alignment="1">
      <alignment/>
    </xf>
    <xf numFmtId="165" fontId="7" fillId="0" borderId="0" xfId="42" applyNumberFormat="1" applyFont="1" applyAlignment="1">
      <alignment/>
    </xf>
    <xf numFmtId="165" fontId="9" fillId="0" borderId="0" xfId="42" applyNumberFormat="1" applyFont="1" applyAlignment="1">
      <alignment/>
    </xf>
    <xf numFmtId="165" fontId="3" fillId="2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5" fontId="7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0" applyNumberFormat="1" applyFont="1" applyAlignment="1">
      <alignment horizontal="left"/>
    </xf>
    <xf numFmtId="165" fontId="0" fillId="20" borderId="0" xfId="42" applyNumberFormat="1" applyFont="1" applyFill="1" applyBorder="1" applyAlignment="1">
      <alignment/>
    </xf>
    <xf numFmtId="165" fontId="0" fillId="20" borderId="0" xfId="42" applyNumberFormat="1" applyFont="1" applyFill="1" applyAlignment="1">
      <alignment/>
    </xf>
    <xf numFmtId="9" fontId="7" fillId="0" borderId="0" xfId="59" applyFont="1" applyAlignment="1">
      <alignment/>
    </xf>
    <xf numFmtId="165" fontId="7" fillId="0" borderId="0" xfId="42" applyNumberFormat="1" applyFont="1" applyFill="1" applyAlignment="1">
      <alignment/>
    </xf>
    <xf numFmtId="0" fontId="0" fillId="20" borderId="0" xfId="0" applyFill="1" applyAlignment="1">
      <alignment/>
    </xf>
    <xf numFmtId="166" fontId="0" fillId="0" borderId="0" xfId="59" applyNumberFormat="1" applyFont="1" applyAlignment="1">
      <alignment/>
    </xf>
    <xf numFmtId="165" fontId="0" fillId="0" borderId="10" xfId="42" applyNumberFormat="1" applyFont="1" applyFill="1" applyBorder="1" applyAlignment="1">
      <alignment/>
    </xf>
    <xf numFmtId="43" fontId="3" fillId="0" borderId="22" xfId="42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65" fontId="0" fillId="20" borderId="0" xfId="42" applyNumberFormat="1" applyFont="1" applyFill="1" applyAlignment="1">
      <alignment/>
    </xf>
    <xf numFmtId="165" fontId="33" fillId="0" borderId="0" xfId="42" applyNumberFormat="1" applyFont="1" applyAlignment="1">
      <alignment/>
    </xf>
    <xf numFmtId="0" fontId="3" fillId="22" borderId="10" xfId="0" applyFont="1" applyFill="1" applyBorder="1" applyAlignment="1">
      <alignment horizontal="center" wrapText="1"/>
    </xf>
    <xf numFmtId="43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1" fontId="3" fillId="6" borderId="10" xfId="0" applyNumberFormat="1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20" borderId="10" xfId="0" applyFont="1" applyFill="1" applyBorder="1" applyAlignment="1" applyProtection="1">
      <alignment horizontal="center"/>
      <protection locked="0"/>
    </xf>
    <xf numFmtId="0" fontId="3" fillId="20" borderId="10" xfId="0" applyFont="1" applyFill="1" applyBorder="1" applyAlignment="1" applyProtection="1">
      <alignment horizontal="center" wrapText="1"/>
      <protection locked="0"/>
    </xf>
    <xf numFmtId="165" fontId="9" fillId="0" borderId="0" xfId="0" applyNumberFormat="1" applyFont="1" applyAlignment="1">
      <alignment/>
    </xf>
    <xf numFmtId="43" fontId="0" fillId="0" borderId="0" xfId="42" applyFont="1" applyAlignment="1">
      <alignment/>
    </xf>
    <xf numFmtId="165" fontId="3" fillId="27" borderId="0" xfId="42" applyNumberFormat="1" applyFont="1" applyFill="1" applyAlignment="1">
      <alignment/>
    </xf>
    <xf numFmtId="0" fontId="0" fillId="0" borderId="0" xfId="0" applyFill="1" applyAlignment="1">
      <alignment horizontal="center"/>
    </xf>
    <xf numFmtId="10" fontId="0" fillId="0" borderId="0" xfId="59" applyNumberFormat="1" applyFont="1" applyBorder="1" applyAlignment="1">
      <alignment/>
    </xf>
    <xf numFmtId="43" fontId="0" fillId="27" borderId="0" xfId="42" applyFont="1" applyFill="1" applyBorder="1" applyAlignment="1">
      <alignment/>
    </xf>
    <xf numFmtId="43" fontId="0" fillId="27" borderId="11" xfId="42" applyFont="1" applyFill="1" applyBorder="1" applyAlignment="1">
      <alignment/>
    </xf>
    <xf numFmtId="0" fontId="0" fillId="27" borderId="0" xfId="0" applyFill="1" applyAlignment="1">
      <alignment/>
    </xf>
    <xf numFmtId="0" fontId="7" fillId="0" borderId="0" xfId="0" applyFont="1" applyAlignment="1">
      <alignment/>
    </xf>
    <xf numFmtId="10" fontId="3" fillId="0" borderId="0" xfId="0" applyNumberFormat="1" applyFont="1" applyFill="1" applyBorder="1" applyAlignment="1">
      <alignment/>
    </xf>
    <xf numFmtId="0" fontId="0" fillId="28" borderId="0" xfId="0" applyFill="1" applyAlignment="1">
      <alignment/>
    </xf>
    <xf numFmtId="0" fontId="0" fillId="28" borderId="0" xfId="0" applyFont="1" applyFill="1" applyAlignment="1">
      <alignment/>
    </xf>
    <xf numFmtId="165" fontId="0" fillId="0" borderId="0" xfId="42" applyNumberFormat="1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165" fontId="3" fillId="0" borderId="10" xfId="0" applyNumberFormat="1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0" fillId="28" borderId="0" xfId="0" applyNumberFormat="1" applyFill="1" applyAlignment="1">
      <alignment/>
    </xf>
    <xf numFmtId="0" fontId="3" fillId="28" borderId="0" xfId="0" applyFont="1" applyFill="1" applyAlignment="1">
      <alignment/>
    </xf>
    <xf numFmtId="165" fontId="3" fillId="28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37" fontId="0" fillId="0" borderId="22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23" xfId="42" applyNumberFormat="1" applyFont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18" xfId="0" applyFont="1" applyBorder="1" applyAlignment="1">
      <alignment horizontal="center" wrapText="1"/>
    </xf>
    <xf numFmtId="0" fontId="25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133350</xdr:rowOff>
    </xdr:from>
    <xdr:to>
      <xdr:col>8</xdr:col>
      <xdr:colOff>495300</xdr:colOff>
      <xdr:row>29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457200"/>
          <a:ext cx="5676900" cy="424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McDonogh City Park Academy FY12-13 Budget Summary Notes: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Assumes 402 students and adjusted to 395 with October 2012 count (current count is approx. 398)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MFP based on state rate of $2,327/child and local rate of $4,103/child.  This amount is prior to the 2% admin fee charged by RSD and NOPS.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Assumes 28 SPED students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Based on average SPED rate per child distributed by state of $8,000.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Transportation cost based on 7 buses at $300 per bus per day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Assumes insurance increase of 10%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2:F33"/>
  <sheetViews>
    <sheetView zoomScalePageLayoutView="0" workbookViewId="0" topLeftCell="A9">
      <selection activeCell="F32" sqref="F32"/>
    </sheetView>
  </sheetViews>
  <sheetFormatPr defaultColWidth="8.8515625" defaultRowHeight="12.75"/>
  <cols>
    <col min="1" max="1" width="13.140625" style="0" customWidth="1"/>
    <col min="2" max="2" width="6.140625" style="0" customWidth="1"/>
    <col min="3" max="3" width="12.421875" style="0" customWidth="1"/>
    <col min="4" max="4" width="7.421875" style="0" customWidth="1"/>
    <col min="5" max="5" width="13.421875" style="0" customWidth="1"/>
  </cols>
  <sheetData>
    <row r="32" spans="1:6" ht="12.75">
      <c r="A32" s="325"/>
      <c r="F32">
        <f>415*125</f>
        <v>51875</v>
      </c>
    </row>
    <row r="33" ht="12.75">
      <c r="F33">
        <f>150*415</f>
        <v>62250</v>
      </c>
    </row>
  </sheetData>
  <sheetProtection password="F9A3" sheet="1"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J51"/>
  <sheetViews>
    <sheetView zoomScalePageLayoutView="0" workbookViewId="0" topLeftCell="A5">
      <selection activeCell="D27" sqref="D27"/>
    </sheetView>
  </sheetViews>
  <sheetFormatPr defaultColWidth="8.8515625" defaultRowHeight="12.75"/>
  <cols>
    <col min="1" max="1" width="3.7109375" style="0" customWidth="1"/>
    <col min="2" max="2" width="32.421875" style="0" customWidth="1"/>
    <col min="3" max="3" width="2.140625" style="0" customWidth="1"/>
    <col min="4" max="4" width="14.140625" style="0" customWidth="1"/>
    <col min="5" max="5" width="2.421875" style="0" customWidth="1"/>
    <col min="6" max="6" width="12.28125" style="0" customWidth="1"/>
    <col min="7" max="7" width="2.28125" style="0" customWidth="1"/>
    <col min="8" max="8" width="15.00390625" style="0" customWidth="1"/>
    <col min="9" max="9" width="3.421875" style="0" customWidth="1"/>
    <col min="10" max="10" width="11.28125" style="0" bestFit="1" customWidth="1"/>
  </cols>
  <sheetData>
    <row r="1" spans="2:9" ht="18">
      <c r="B1" s="347" t="s">
        <v>572</v>
      </c>
      <c r="C1" s="347"/>
      <c r="D1" s="347"/>
      <c r="E1" s="347"/>
      <c r="F1" s="347"/>
      <c r="G1" s="347"/>
      <c r="H1" s="347"/>
      <c r="I1" s="347"/>
    </row>
    <row r="2" spans="1:9" ht="18" customHeight="1">
      <c r="A2" s="348" t="s">
        <v>97</v>
      </c>
      <c r="B2" s="348"/>
      <c r="C2" s="348"/>
      <c r="D2" s="348"/>
      <c r="E2" s="348"/>
      <c r="F2" s="348"/>
      <c r="G2" s="348"/>
      <c r="H2" s="348"/>
      <c r="I2" s="348"/>
    </row>
    <row r="3" spans="2:6" ht="26.25" customHeight="1">
      <c r="B3" s="226"/>
      <c r="C3" s="226"/>
      <c r="D3" s="226"/>
      <c r="E3" s="226"/>
      <c r="F3" s="226"/>
    </row>
    <row r="4" spans="4:8" ht="25.5">
      <c r="D4" s="167" t="s">
        <v>82</v>
      </c>
      <c r="E4" s="168"/>
      <c r="F4" s="167" t="s">
        <v>80</v>
      </c>
      <c r="G4" s="165"/>
      <c r="H4" s="227" t="s">
        <v>81</v>
      </c>
    </row>
    <row r="7" spans="1:4" ht="12.75">
      <c r="A7" s="228" t="s">
        <v>65</v>
      </c>
      <c r="B7" s="228"/>
      <c r="D7" s="99"/>
    </row>
    <row r="8" spans="1:8" ht="12.75">
      <c r="A8" s="233" t="s">
        <v>83</v>
      </c>
      <c r="B8" s="71"/>
      <c r="D8" s="135"/>
      <c r="E8" s="89"/>
      <c r="F8" s="89"/>
      <c r="H8" s="89"/>
    </row>
    <row r="9" spans="1:8" ht="12.75">
      <c r="A9" s="71" t="s">
        <v>213</v>
      </c>
      <c r="B9" s="78" t="s">
        <v>585</v>
      </c>
      <c r="D9" s="135">
        <f>746050</f>
        <v>746050</v>
      </c>
      <c r="E9" s="89"/>
      <c r="F9" s="89">
        <f>'Budget by month &amp; class'!P36</f>
        <v>379713</v>
      </c>
      <c r="H9" s="89">
        <f aca="true" t="shared" si="0" ref="H9:H17">F9-D9</f>
        <v>-366337</v>
      </c>
    </row>
    <row r="10" spans="1:8" ht="12.75">
      <c r="A10" s="71"/>
      <c r="B10" s="78" t="s">
        <v>504</v>
      </c>
      <c r="D10" s="135">
        <v>81920</v>
      </c>
      <c r="E10" s="89"/>
      <c r="F10" s="89">
        <f>'Budget by month &amp; class'!P40</f>
        <v>66107</v>
      </c>
      <c r="H10" s="89">
        <f t="shared" si="0"/>
        <v>-15813</v>
      </c>
    </row>
    <row r="11" spans="1:8" ht="12.75">
      <c r="A11" s="71"/>
      <c r="B11" s="78" t="s">
        <v>505</v>
      </c>
      <c r="D11" s="135">
        <f>77877</f>
        <v>77877</v>
      </c>
      <c r="E11" s="89"/>
      <c r="F11" s="89">
        <f>'Budget by month &amp; class'!P32</f>
        <v>89574</v>
      </c>
      <c r="H11" s="89">
        <f t="shared" si="0"/>
        <v>11697</v>
      </c>
    </row>
    <row r="12" spans="1:8" ht="12.75">
      <c r="A12" s="71"/>
      <c r="B12" s="78" t="s">
        <v>486</v>
      </c>
      <c r="D12" s="135">
        <v>4639</v>
      </c>
      <c r="E12" s="89"/>
      <c r="F12" s="89">
        <f>'Budget by month &amp; class'!P39</f>
        <v>4260</v>
      </c>
      <c r="H12" s="89">
        <f t="shared" si="0"/>
        <v>-379</v>
      </c>
    </row>
    <row r="13" spans="1:8" ht="12.75">
      <c r="A13" s="71"/>
      <c r="B13" s="78" t="s">
        <v>162</v>
      </c>
      <c r="D13" s="135">
        <v>151288.47</v>
      </c>
      <c r="E13" s="89"/>
      <c r="F13" s="89"/>
      <c r="H13" s="89">
        <f t="shared" si="0"/>
        <v>-151288.47</v>
      </c>
    </row>
    <row r="14" spans="1:8" ht="12.75">
      <c r="A14" s="71"/>
      <c r="B14" s="78" t="s">
        <v>163</v>
      </c>
      <c r="D14" s="135">
        <f>51739+96695.48</f>
        <v>148434.47999999998</v>
      </c>
      <c r="E14" s="89"/>
      <c r="F14" s="89"/>
      <c r="H14" s="89">
        <f t="shared" si="0"/>
        <v>-148434.47999999998</v>
      </c>
    </row>
    <row r="15" spans="1:8" ht="12.75">
      <c r="A15" s="71"/>
      <c r="B15" s="78" t="s">
        <v>94</v>
      </c>
      <c r="D15" s="135">
        <v>36702</v>
      </c>
      <c r="E15" s="89"/>
      <c r="F15" s="89"/>
      <c r="H15" s="89">
        <f t="shared" si="0"/>
        <v>-36702</v>
      </c>
    </row>
    <row r="16" spans="1:8" ht="12.75">
      <c r="A16" s="71"/>
      <c r="B16" s="78" t="s">
        <v>96</v>
      </c>
      <c r="D16" s="135">
        <f>83786+5555+2677</f>
        <v>92018</v>
      </c>
      <c r="E16" s="89"/>
      <c r="F16" s="89"/>
      <c r="H16" s="89">
        <f t="shared" si="0"/>
        <v>-92018</v>
      </c>
    </row>
    <row r="17" spans="1:8" ht="12.75">
      <c r="A17" s="71"/>
      <c r="B17" s="78" t="s">
        <v>95</v>
      </c>
      <c r="D17" s="230">
        <v>78301.97</v>
      </c>
      <c r="E17" s="89"/>
      <c r="F17" s="123"/>
      <c r="H17" s="89">
        <f t="shared" si="0"/>
        <v>-78301.97</v>
      </c>
    </row>
    <row r="18" spans="1:8" ht="12.75">
      <c r="A18" s="71" t="s">
        <v>84</v>
      </c>
      <c r="B18" s="71"/>
      <c r="D18" s="179">
        <f>SUM(D8:D17)</f>
        <v>1417230.92</v>
      </c>
      <c r="E18" s="89"/>
      <c r="F18" s="243">
        <f>SUM(F8:F17)</f>
        <v>539654</v>
      </c>
      <c r="H18" s="245">
        <f>SUM(H8:H17)</f>
        <v>-877576.9199999999</v>
      </c>
    </row>
    <row r="19" spans="1:10" ht="12.75">
      <c r="A19" s="233" t="s">
        <v>66</v>
      </c>
      <c r="B19" s="71"/>
      <c r="D19" s="135"/>
      <c r="E19" s="89"/>
      <c r="F19" s="89"/>
      <c r="H19" s="89">
        <f>D19-F19</f>
        <v>0</v>
      </c>
      <c r="J19" s="219"/>
    </row>
    <row r="20" spans="1:10" ht="12.75">
      <c r="A20" s="71"/>
      <c r="B20" s="78" t="s">
        <v>89</v>
      </c>
      <c r="D20" s="135">
        <v>1486215</v>
      </c>
      <c r="E20" s="89"/>
      <c r="F20" s="89">
        <f>'Budget by month &amp; class'!P13</f>
        <v>1588271.3000000003</v>
      </c>
      <c r="H20" s="89">
        <f>F20-D20</f>
        <v>102056.30000000028</v>
      </c>
      <c r="J20" s="219"/>
    </row>
    <row r="21" spans="1:10" ht="12.75">
      <c r="A21" s="71"/>
      <c r="B21" s="78" t="s">
        <v>90</v>
      </c>
      <c r="D21" s="135">
        <v>1495.36</v>
      </c>
      <c r="E21" s="89"/>
      <c r="F21" s="89"/>
      <c r="H21" s="89">
        <f>F21-D21</f>
        <v>-1495.36</v>
      </c>
      <c r="J21" s="219"/>
    </row>
    <row r="22" spans="1:10" ht="12.75">
      <c r="A22" s="71"/>
      <c r="B22" s="78" t="s">
        <v>563</v>
      </c>
      <c r="D22" s="135">
        <v>39158.1</v>
      </c>
      <c r="E22" s="89"/>
      <c r="F22" s="89"/>
      <c r="H22" s="89">
        <f>F22-D22</f>
        <v>-39158.1</v>
      </c>
      <c r="J22" s="219"/>
    </row>
    <row r="23" spans="1:10" ht="12.75">
      <c r="A23" s="71"/>
      <c r="B23" s="78" t="s">
        <v>211</v>
      </c>
      <c r="D23" s="135">
        <v>14860.5</v>
      </c>
      <c r="E23" s="89"/>
      <c r="F23" s="89"/>
      <c r="H23" s="89">
        <f>F23-D23</f>
        <v>-14860.5</v>
      </c>
      <c r="J23" s="219"/>
    </row>
    <row r="24" spans="1:10" ht="12.75">
      <c r="A24" s="71" t="s">
        <v>87</v>
      </c>
      <c r="B24" s="71"/>
      <c r="D24" s="242">
        <f>SUM(D20:D23)</f>
        <v>1541728.9600000002</v>
      </c>
      <c r="E24" s="89"/>
      <c r="F24" s="242">
        <f>SUM(F20:F23)</f>
        <v>1588271.3000000003</v>
      </c>
      <c r="H24" s="241">
        <f>SUM(H20:H23)</f>
        <v>46542.34000000028</v>
      </c>
      <c r="J24" s="219"/>
    </row>
    <row r="25" spans="1:8" ht="12.75">
      <c r="A25" s="233" t="s">
        <v>67</v>
      </c>
      <c r="B25" s="71"/>
      <c r="D25" s="239"/>
      <c r="E25" s="125"/>
      <c r="F25" s="125"/>
      <c r="G25" s="113"/>
      <c r="H25" s="125">
        <f>D25-F25</f>
        <v>0</v>
      </c>
    </row>
    <row r="26" spans="1:8" ht="12.75">
      <c r="A26" s="71"/>
      <c r="B26" s="78" t="s">
        <v>89</v>
      </c>
      <c r="D26" s="239">
        <v>1145989</v>
      </c>
      <c r="E26" s="89"/>
      <c r="F26" s="125" t="e">
        <f>'Budget by month &amp; class'!P25</f>
        <v>#REF!</v>
      </c>
      <c r="H26" s="89" t="e">
        <f>F26-D26</f>
        <v>#REF!</v>
      </c>
    </row>
    <row r="27" spans="1:8" ht="12.75">
      <c r="A27" s="71"/>
      <c r="B27" s="78" t="s">
        <v>93</v>
      </c>
      <c r="D27" s="239">
        <v>7393.14</v>
      </c>
      <c r="E27" s="89"/>
      <c r="F27" s="125"/>
      <c r="H27" s="89">
        <f>F27-D27</f>
        <v>-7393.14</v>
      </c>
    </row>
    <row r="28" spans="1:8" ht="12.75">
      <c r="A28" s="71"/>
      <c r="B28" s="78" t="s">
        <v>91</v>
      </c>
      <c r="D28" s="239">
        <v>699.38</v>
      </c>
      <c r="E28" s="89"/>
      <c r="F28" s="125"/>
      <c r="H28" s="89">
        <f>F28-D28</f>
        <v>-699.38</v>
      </c>
    </row>
    <row r="29" spans="1:8" ht="12.75">
      <c r="A29" s="71"/>
      <c r="B29" s="78" t="s">
        <v>92</v>
      </c>
      <c r="D29" s="230">
        <v>17639.85</v>
      </c>
      <c r="E29" s="89"/>
      <c r="F29" s="123"/>
      <c r="H29" s="89">
        <f>F29-D29</f>
        <v>-17639.85</v>
      </c>
    </row>
    <row r="30" spans="1:8" ht="12.75">
      <c r="A30" s="71" t="s">
        <v>88</v>
      </c>
      <c r="B30" s="71"/>
      <c r="D30" s="240">
        <f>SUM(D26:D29)</f>
        <v>1171721.3699999999</v>
      </c>
      <c r="E30" s="89"/>
      <c r="F30" s="240" t="e">
        <f>SUM(F26:F29)</f>
        <v>#REF!</v>
      </c>
      <c r="H30" s="241" t="e">
        <f>SUM(H26:H29)</f>
        <v>#REF!</v>
      </c>
    </row>
    <row r="31" spans="1:8" ht="12.75">
      <c r="A31" s="71"/>
      <c r="B31" s="71"/>
      <c r="D31" s="239"/>
      <c r="E31" s="89"/>
      <c r="F31" s="239"/>
      <c r="H31" s="239"/>
    </row>
    <row r="32" spans="1:8" ht="12.75">
      <c r="A32" s="71" t="s">
        <v>68</v>
      </c>
      <c r="B32" s="71"/>
      <c r="D32" s="244">
        <f>D18+D24+D30</f>
        <v>4130681.25</v>
      </c>
      <c r="E32" s="89"/>
      <c r="F32" s="244" t="e">
        <f>F18+F24+F30</f>
        <v>#REF!</v>
      </c>
      <c r="G32" s="219"/>
      <c r="H32" s="244" t="e">
        <f>H18+H24+H30</f>
        <v>#REF!</v>
      </c>
    </row>
    <row r="33" spans="1:6" ht="12.75">
      <c r="A33" s="71"/>
      <c r="B33" s="71"/>
      <c r="D33" s="229"/>
      <c r="E33" s="89"/>
      <c r="F33" s="89"/>
    </row>
    <row r="34" spans="1:6" ht="12.75">
      <c r="A34" s="75" t="s">
        <v>69</v>
      </c>
      <c r="B34" s="75"/>
      <c r="D34" s="229"/>
      <c r="E34" s="89"/>
      <c r="F34" s="89"/>
    </row>
    <row r="35" spans="1:9" ht="12.75">
      <c r="A35" s="71" t="s">
        <v>70</v>
      </c>
      <c r="B35" s="71"/>
      <c r="D35" s="135">
        <v>1788377.92</v>
      </c>
      <c r="E35" s="89"/>
      <c r="F35" s="89">
        <f>'Budget by month &amp; class'!P76</f>
        <v>2012164</v>
      </c>
      <c r="H35" s="89">
        <f aca="true" t="shared" si="1" ref="H35:H42">D35-F35</f>
        <v>-223786.08000000007</v>
      </c>
      <c r="I35" s="4"/>
    </row>
    <row r="36" spans="1:9" ht="12.75">
      <c r="A36" s="71" t="s">
        <v>71</v>
      </c>
      <c r="B36" s="71"/>
      <c r="D36" s="135">
        <v>474768.14</v>
      </c>
      <c r="E36" s="89"/>
      <c r="F36" s="89">
        <f>'Budget by month &amp; class'!P94+'Budget by month &amp; class'!P110+'Budget by month &amp; class'!P125+'Budget by month &amp; class'!P142+'Budget by month &amp; class'!P159+'Budget by month &amp; class'!P176</f>
        <v>756947.7029999999</v>
      </c>
      <c r="H36" s="89">
        <f t="shared" si="1"/>
        <v>-282179.56299999985</v>
      </c>
      <c r="I36" s="4"/>
    </row>
    <row r="37" spans="1:9" ht="12.75">
      <c r="A37" s="71" t="s">
        <v>72</v>
      </c>
      <c r="B37" s="71"/>
      <c r="D37" s="135">
        <v>304074.89</v>
      </c>
      <c r="E37" s="89"/>
      <c r="F37" s="89" t="e">
        <f>'Budget by month &amp; class'!P251</f>
        <v>#REF!</v>
      </c>
      <c r="H37" s="89" t="e">
        <f t="shared" si="1"/>
        <v>#REF!</v>
      </c>
      <c r="I37" s="4"/>
    </row>
    <row r="38" spans="1:8" ht="12.75">
      <c r="A38" s="71" t="s">
        <v>73</v>
      </c>
      <c r="B38" s="71"/>
      <c r="D38" s="135">
        <v>253422.72</v>
      </c>
      <c r="E38" s="89"/>
      <c r="F38" s="89">
        <f>'Budget by month &amp; class'!P265</f>
        <v>189156</v>
      </c>
      <c r="H38" s="89">
        <f t="shared" si="1"/>
        <v>64266.72</v>
      </c>
    </row>
    <row r="39" spans="1:9" ht="12.75">
      <c r="A39" s="71" t="s">
        <v>74</v>
      </c>
      <c r="B39" s="71"/>
      <c r="D39" s="135">
        <v>431231.86</v>
      </c>
      <c r="E39" s="89"/>
      <c r="F39" s="89">
        <f>'Budget by month &amp; class'!P182+'Budget by month &amp; class'!P184+'Budget by month &amp; class'!P218+'Budget by month &amp; class'!P227+'Budget by month &amp; class'!P320+'Budget by month &amp; class'!P330</f>
        <v>491602</v>
      </c>
      <c r="H39" s="89">
        <f t="shared" si="1"/>
        <v>-60370.140000000014</v>
      </c>
      <c r="I39" s="4"/>
    </row>
    <row r="40" spans="1:8" ht="12.75">
      <c r="A40" s="71" t="s">
        <v>75</v>
      </c>
      <c r="B40" s="71"/>
      <c r="D40" s="135">
        <f>510863.38-1361.93</f>
        <v>509501.45</v>
      </c>
      <c r="E40" s="89"/>
      <c r="F40" s="89">
        <f>'Budget by month &amp; class'!P272+'Budget by month &amp; class'!P285+'Budget by month &amp; class'!P308</f>
        <v>285296</v>
      </c>
      <c r="H40" s="89">
        <f t="shared" si="1"/>
        <v>224205.45</v>
      </c>
    </row>
    <row r="41" spans="1:9" ht="12.75">
      <c r="A41" s="71" t="s">
        <v>76</v>
      </c>
      <c r="B41" s="71"/>
      <c r="D41" s="135">
        <v>3418</v>
      </c>
      <c r="E41" s="89"/>
      <c r="F41" s="89">
        <f>'Budget by month &amp; class'!P202+'Budget by month &amp; class'!P210</f>
        <v>0</v>
      </c>
      <c r="H41" s="89">
        <f t="shared" si="1"/>
        <v>3418</v>
      </c>
      <c r="I41" s="4"/>
    </row>
    <row r="42" spans="1:8" ht="12.75">
      <c r="A42" s="71" t="s">
        <v>77</v>
      </c>
      <c r="B42" s="71"/>
      <c r="D42" s="135">
        <v>52146.16</v>
      </c>
      <c r="E42" s="89"/>
      <c r="F42" s="89">
        <f>'Budget by month &amp; class'!P191</f>
        <v>500</v>
      </c>
      <c r="H42" s="89">
        <f t="shared" si="1"/>
        <v>51646.16</v>
      </c>
    </row>
    <row r="43" spans="1:8" ht="12.75">
      <c r="A43" s="71" t="s">
        <v>78</v>
      </c>
      <c r="B43" s="71"/>
      <c r="D43" s="230">
        <v>0</v>
      </c>
      <c r="E43" s="229"/>
      <c r="F43" s="231"/>
      <c r="H43" s="123">
        <f>D43-F43</f>
        <v>0</v>
      </c>
    </row>
    <row r="44" spans="1:8" ht="12.75">
      <c r="A44" s="71" t="s">
        <v>79</v>
      </c>
      <c r="B44" s="71"/>
      <c r="D44" s="244">
        <f>SUM(D35:D43)</f>
        <v>3816941.1400000006</v>
      </c>
      <c r="E44" s="89"/>
      <c r="F44" s="243" t="e">
        <f>SUM(F35:F43)</f>
        <v>#REF!</v>
      </c>
      <c r="H44" s="243" t="e">
        <f>SUM(H35:H43)</f>
        <v>#REF!</v>
      </c>
    </row>
    <row r="45" spans="1:6" ht="12.75">
      <c r="A45" s="75"/>
      <c r="B45" s="75"/>
      <c r="D45" s="89"/>
      <c r="E45" s="89"/>
      <c r="F45" s="89"/>
    </row>
    <row r="46" spans="1:8" ht="13.5" thickBot="1">
      <c r="A46" s="75" t="s">
        <v>212</v>
      </c>
      <c r="B46" s="75"/>
      <c r="D46" s="246">
        <f>D32-D44</f>
        <v>313740.1099999994</v>
      </c>
      <c r="E46" s="89"/>
      <c r="F46" s="246" t="e">
        <f>F32-F44</f>
        <v>#REF!</v>
      </c>
      <c r="H46" s="246" t="e">
        <f>H32-H44</f>
        <v>#REF!</v>
      </c>
    </row>
    <row r="47" ht="13.5" thickTop="1"/>
    <row r="51" ht="12.75">
      <c r="F51" s="89"/>
    </row>
  </sheetData>
  <sheetProtection/>
  <mergeCells count="2">
    <mergeCell ref="B1:I1"/>
    <mergeCell ref="A2:I2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383"/>
  <sheetViews>
    <sheetView zoomScale="85" zoomScaleNormal="85" zoomScalePageLayoutView="0" workbookViewId="0" topLeftCell="A1">
      <pane xSplit="3" ySplit="1" topLeftCell="L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110" sqref="P110"/>
    </sheetView>
  </sheetViews>
  <sheetFormatPr defaultColWidth="8.8515625" defaultRowHeight="12.75" outlineLevelRow="1" outlineLevelCol="1"/>
  <cols>
    <col min="1" max="1" width="3.140625" style="0" customWidth="1" outlineLevel="1"/>
    <col min="2" max="2" width="8.7109375" style="0" customWidth="1" outlineLevel="1"/>
    <col min="3" max="3" width="34.421875" style="0" customWidth="1"/>
    <col min="4" max="4" width="9.8515625" style="0" customWidth="1" outlineLevel="1"/>
    <col min="5" max="5" width="9.7109375" style="0" customWidth="1" outlineLevel="1"/>
    <col min="6" max="9" width="9.140625" style="0" customWidth="1" outlineLevel="1"/>
    <col min="10" max="10" width="9.7109375" style="0" customWidth="1" outlineLevel="1"/>
    <col min="11" max="15" width="9.140625" style="0" customWidth="1" outlineLevel="1"/>
    <col min="16" max="16" width="10.8515625" style="0" customWidth="1" outlineLevel="1"/>
    <col min="17" max="17" width="2.421875" style="0" customWidth="1"/>
    <col min="18" max="18" width="10.28125" style="0" customWidth="1"/>
    <col min="19" max="19" width="10.421875" style="0" bestFit="1" customWidth="1"/>
    <col min="20" max="20" width="9.421875" style="0" bestFit="1" customWidth="1"/>
    <col min="21" max="21" width="10.7109375" style="0" bestFit="1" customWidth="1"/>
    <col min="23" max="24" width="8.421875" style="0" customWidth="1"/>
    <col min="25" max="25" width="9.421875" style="0" customWidth="1"/>
    <col min="26" max="27" width="10.140625" style="0" customWidth="1"/>
    <col min="28" max="29" width="8.421875" style="0" customWidth="1"/>
    <col min="30" max="30" width="10.8515625" style="0" customWidth="1"/>
    <col min="31" max="31" width="10.140625" style="0" customWidth="1" outlineLevel="1"/>
  </cols>
  <sheetData>
    <row r="1" spans="4:30" s="165" customFormat="1" ht="25.5">
      <c r="D1" s="166" t="s">
        <v>490</v>
      </c>
      <c r="E1" s="166" t="s">
        <v>491</v>
      </c>
      <c r="F1" s="166" t="s">
        <v>492</v>
      </c>
      <c r="G1" s="166" t="s">
        <v>493</v>
      </c>
      <c r="H1" s="166" t="s">
        <v>494</v>
      </c>
      <c r="I1" s="166" t="s">
        <v>495</v>
      </c>
      <c r="J1" s="166" t="s">
        <v>496</v>
      </c>
      <c r="K1" s="166" t="s">
        <v>497</v>
      </c>
      <c r="L1" s="166" t="s">
        <v>498</v>
      </c>
      <c r="M1" s="166" t="s">
        <v>499</v>
      </c>
      <c r="N1" s="166" t="s">
        <v>500</v>
      </c>
      <c r="O1" s="166" t="s">
        <v>501</v>
      </c>
      <c r="P1" s="167" t="s">
        <v>502</v>
      </c>
      <c r="Q1" s="168"/>
      <c r="R1" s="181" t="s">
        <v>503</v>
      </c>
      <c r="S1" s="181" t="s">
        <v>585</v>
      </c>
      <c r="T1" s="181" t="s">
        <v>194</v>
      </c>
      <c r="U1" s="181" t="s">
        <v>195</v>
      </c>
      <c r="V1" s="181" t="s">
        <v>504</v>
      </c>
      <c r="W1" s="181" t="s">
        <v>486</v>
      </c>
      <c r="X1" s="181" t="s">
        <v>241</v>
      </c>
      <c r="Y1" s="181" t="s">
        <v>171</v>
      </c>
      <c r="Z1" s="181" t="s">
        <v>161</v>
      </c>
      <c r="AA1" s="181" t="s">
        <v>261</v>
      </c>
      <c r="AB1" s="181" t="s">
        <v>196</v>
      </c>
      <c r="AC1" s="181" t="s">
        <v>140</v>
      </c>
      <c r="AD1" s="110" t="s">
        <v>150</v>
      </c>
    </row>
    <row r="2" spans="2:31" ht="12.75">
      <c r="B2" s="4"/>
      <c r="C2" s="52" t="s">
        <v>507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AE2" s="88" t="s">
        <v>348</v>
      </c>
    </row>
    <row r="3" spans="1:15" ht="12.75" hidden="1" outlineLevel="1">
      <c r="A3" s="4"/>
      <c r="B3" s="53" t="s">
        <v>508</v>
      </c>
      <c r="C3" s="53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31" ht="12.75" hidden="1" outlineLevel="1">
      <c r="A4" s="4"/>
      <c r="B4" s="54">
        <v>1000</v>
      </c>
      <c r="C4" s="55" t="s">
        <v>509</v>
      </c>
      <c r="D4" s="86">
        <f>Assumptions!$C$27</f>
        <v>134701.49</v>
      </c>
      <c r="E4" s="86">
        <f>Assumptions!$C$27</f>
        <v>134701.49</v>
      </c>
      <c r="F4" s="86">
        <f>Assumptions!$C$27</f>
        <v>134701.49</v>
      </c>
      <c r="G4" s="86">
        <f>Assumptions!$C$27</f>
        <v>134701.49</v>
      </c>
      <c r="H4" s="86">
        <f>Assumptions!$C$27</f>
        <v>134701.49</v>
      </c>
      <c r="I4" s="86">
        <f>Assumptions!$D$27</f>
        <v>130680.55000000002</v>
      </c>
      <c r="J4" s="86">
        <f>Assumptions!$D$27</f>
        <v>130680.55000000002</v>
      </c>
      <c r="K4" s="86">
        <f>Assumptions!$D$27</f>
        <v>130680.55000000002</v>
      </c>
      <c r="L4" s="86">
        <f>Assumptions!$E$27</f>
        <v>130680.55000000002</v>
      </c>
      <c r="M4" s="86">
        <f>Assumptions!$E$27</f>
        <v>130680.55000000002</v>
      </c>
      <c r="N4" s="86">
        <f>Assumptions!$E$27</f>
        <v>130680.55000000002</v>
      </c>
      <c r="O4" s="86">
        <f>Assumptions!$E$27</f>
        <v>130680.55000000002</v>
      </c>
      <c r="P4" s="135">
        <f>SUM(D4:O4)</f>
        <v>1588271.3000000003</v>
      </c>
      <c r="R4" s="85">
        <f>P4-S4-V4-W4-X4-AC4</f>
        <v>1588271.3000000003</v>
      </c>
      <c r="AD4" s="85">
        <f>SUM(R4:AC4)</f>
        <v>1588271.3000000003</v>
      </c>
      <c r="AE4" s="89">
        <f>P4-AD4</f>
        <v>0</v>
      </c>
    </row>
    <row r="5" spans="1:31" ht="12.75" hidden="1" outlineLevel="1">
      <c r="A5" s="4"/>
      <c r="B5" s="54">
        <v>1500</v>
      </c>
      <c r="C5" s="55" t="s">
        <v>510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R5" s="85">
        <f aca="true" t="shared" si="0" ref="R5:R22">P5-S5-V5-W5-X5-AC5</f>
        <v>0</v>
      </c>
      <c r="AD5" s="85">
        <f aca="true" t="shared" si="1" ref="AD5:AD11">SUM(R5:AC5)</f>
        <v>0</v>
      </c>
      <c r="AE5" s="89">
        <f aca="true" t="shared" si="2" ref="AE5:AE25">P5-AD5</f>
        <v>0</v>
      </c>
    </row>
    <row r="6" spans="1:31" ht="12.75" hidden="1" outlineLevel="1">
      <c r="A6" s="4"/>
      <c r="B6" s="54">
        <v>1600</v>
      </c>
      <c r="C6" s="55" t="s">
        <v>511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102"/>
      <c r="R6" s="85">
        <f t="shared" si="0"/>
        <v>0</v>
      </c>
      <c r="AD6" s="85">
        <f t="shared" si="1"/>
        <v>0</v>
      </c>
      <c r="AE6" s="89">
        <f t="shared" si="2"/>
        <v>0</v>
      </c>
    </row>
    <row r="7" spans="1:31" ht="12.75" hidden="1" outlineLevel="1">
      <c r="A7" s="4"/>
      <c r="B7" s="54">
        <v>1800</v>
      </c>
      <c r="C7" s="55" t="s">
        <v>512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R7" s="85">
        <f t="shared" si="0"/>
        <v>0</v>
      </c>
      <c r="AD7" s="85">
        <f t="shared" si="1"/>
        <v>0</v>
      </c>
      <c r="AE7" s="89">
        <f t="shared" si="2"/>
        <v>0</v>
      </c>
    </row>
    <row r="8" spans="1:31" ht="12.75" hidden="1" outlineLevel="1">
      <c r="A8" s="4"/>
      <c r="B8" s="54">
        <v>1900</v>
      </c>
      <c r="C8" s="55" t="s">
        <v>513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R8" s="85">
        <f t="shared" si="0"/>
        <v>0</v>
      </c>
      <c r="AD8" s="85">
        <f t="shared" si="1"/>
        <v>0</v>
      </c>
      <c r="AE8" s="89">
        <f t="shared" si="2"/>
        <v>0</v>
      </c>
    </row>
    <row r="9" spans="1:31" ht="12.75" hidden="1" outlineLevel="1">
      <c r="A9" s="4"/>
      <c r="B9" s="54">
        <v>1920</v>
      </c>
      <c r="C9" s="55" t="s">
        <v>514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R9" s="85">
        <f t="shared" si="0"/>
        <v>0</v>
      </c>
      <c r="AD9" s="85">
        <f t="shared" si="1"/>
        <v>0</v>
      </c>
      <c r="AE9" s="89">
        <f t="shared" si="2"/>
        <v>0</v>
      </c>
    </row>
    <row r="10" spans="1:31" ht="12.75" hidden="1" outlineLevel="1">
      <c r="A10" s="4"/>
      <c r="B10" s="54">
        <v>1940</v>
      </c>
      <c r="C10" s="55" t="s">
        <v>515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R10" s="85">
        <f t="shared" si="0"/>
        <v>0</v>
      </c>
      <c r="AD10" s="85">
        <f t="shared" si="1"/>
        <v>0</v>
      </c>
      <c r="AE10" s="89">
        <f t="shared" si="2"/>
        <v>0</v>
      </c>
    </row>
    <row r="11" spans="1:31" ht="12.75" hidden="1" outlineLevel="1">
      <c r="A11" s="4"/>
      <c r="B11" s="54">
        <v>1990</v>
      </c>
      <c r="C11" s="55" t="s">
        <v>516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R11" s="85">
        <f t="shared" si="0"/>
        <v>0</v>
      </c>
      <c r="AD11" s="85">
        <f t="shared" si="1"/>
        <v>0</v>
      </c>
      <c r="AE11" s="89">
        <f t="shared" si="2"/>
        <v>0</v>
      </c>
    </row>
    <row r="12" spans="1:31" ht="12.75" hidden="1" outlineLevel="1">
      <c r="A12" s="4"/>
      <c r="B12" s="56"/>
      <c r="C12" s="55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R12" s="85"/>
      <c r="AE12" s="89"/>
    </row>
    <row r="13" spans="2:31" s="60" customFormat="1" ht="12.75" collapsed="1">
      <c r="B13" s="87"/>
      <c r="C13" s="64" t="s">
        <v>517</v>
      </c>
      <c r="D13" s="82">
        <f>SUM(D4:D12)</f>
        <v>134701.49</v>
      </c>
      <c r="E13" s="82">
        <f aca="true" t="shared" si="3" ref="E13:R13">SUM(E4:E12)</f>
        <v>134701.49</v>
      </c>
      <c r="F13" s="82">
        <f t="shared" si="3"/>
        <v>134701.49</v>
      </c>
      <c r="G13" s="82">
        <f t="shared" si="3"/>
        <v>134701.49</v>
      </c>
      <c r="H13" s="82">
        <f t="shared" si="3"/>
        <v>134701.49</v>
      </c>
      <c r="I13" s="82">
        <f t="shared" si="3"/>
        <v>130680.55000000002</v>
      </c>
      <c r="J13" s="82">
        <f t="shared" si="3"/>
        <v>130680.55000000002</v>
      </c>
      <c r="K13" s="82">
        <f t="shared" si="3"/>
        <v>130680.55000000002</v>
      </c>
      <c r="L13" s="82">
        <f t="shared" si="3"/>
        <v>130680.55000000002</v>
      </c>
      <c r="M13" s="82">
        <f t="shared" si="3"/>
        <v>130680.55000000002</v>
      </c>
      <c r="N13" s="82">
        <f t="shared" si="3"/>
        <v>130680.55000000002</v>
      </c>
      <c r="O13" s="82">
        <f t="shared" si="3"/>
        <v>130680.55000000002</v>
      </c>
      <c r="P13" s="82">
        <f t="shared" si="3"/>
        <v>1588271.3000000003</v>
      </c>
      <c r="R13" s="82">
        <f t="shared" si="3"/>
        <v>1588271.3000000003</v>
      </c>
      <c r="S13" s="82">
        <f aca="true" t="shared" si="4" ref="S13:AD13">SUM(S4:S12)</f>
        <v>0</v>
      </c>
      <c r="T13" s="82">
        <f t="shared" si="4"/>
        <v>0</v>
      </c>
      <c r="U13" s="82">
        <f t="shared" si="4"/>
        <v>0</v>
      </c>
      <c r="V13" s="82">
        <f t="shared" si="4"/>
        <v>0</v>
      </c>
      <c r="W13" s="82">
        <f t="shared" si="4"/>
        <v>0</v>
      </c>
      <c r="X13" s="82">
        <f t="shared" si="4"/>
        <v>0</v>
      </c>
      <c r="Y13" s="82">
        <f t="shared" si="4"/>
        <v>0</v>
      </c>
      <c r="Z13" s="82">
        <f t="shared" si="4"/>
        <v>0</v>
      </c>
      <c r="AA13" s="82"/>
      <c r="AB13" s="82">
        <f t="shared" si="4"/>
        <v>0</v>
      </c>
      <c r="AC13" s="82">
        <f t="shared" si="4"/>
        <v>0</v>
      </c>
      <c r="AD13" s="82">
        <f t="shared" si="4"/>
        <v>1588271.3000000003</v>
      </c>
      <c r="AE13" s="89">
        <f t="shared" si="2"/>
        <v>0</v>
      </c>
    </row>
    <row r="14" spans="1:18" ht="8.25" customHeight="1">
      <c r="A14" s="4"/>
      <c r="B14" s="56"/>
      <c r="C14" s="53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R14" s="85"/>
    </row>
    <row r="15" spans="1:31" ht="12.75" hidden="1" outlineLevel="1">
      <c r="A15" s="4"/>
      <c r="B15" s="56" t="s">
        <v>518</v>
      </c>
      <c r="C15" s="57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R15" s="85">
        <f t="shared" si="0"/>
        <v>0</v>
      </c>
      <c r="AD15" s="85">
        <f aca="true" t="shared" si="5" ref="AD15:AD23">SUM(R15:AC15)</f>
        <v>0</v>
      </c>
      <c r="AE15" s="89">
        <f t="shared" si="2"/>
        <v>0</v>
      </c>
    </row>
    <row r="16" spans="1:31" ht="12.75" hidden="1" outlineLevel="1">
      <c r="A16" s="4"/>
      <c r="B16" s="111">
        <v>3100</v>
      </c>
      <c r="C16" s="58" t="s">
        <v>519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R16" s="85">
        <f t="shared" si="0"/>
        <v>0</v>
      </c>
      <c r="AD16" s="85">
        <f t="shared" si="5"/>
        <v>0</v>
      </c>
      <c r="AE16" s="89">
        <f t="shared" si="2"/>
        <v>0</v>
      </c>
    </row>
    <row r="17" spans="1:31" ht="12.75" hidden="1" outlineLevel="1">
      <c r="A17" s="4"/>
      <c r="B17" s="54">
        <v>3110</v>
      </c>
      <c r="C17" s="55" t="s">
        <v>520</v>
      </c>
      <c r="D17" s="86" t="e">
        <f>Assumptions!$C$17+Assumptions!#REF!</f>
        <v>#REF!</v>
      </c>
      <c r="E17" s="86" t="e">
        <f>Assumptions!$C$17+Assumptions!#REF!</f>
        <v>#REF!</v>
      </c>
      <c r="F17" s="86" t="e">
        <f>Assumptions!$C$17+Assumptions!#REF!</f>
        <v>#REF!</v>
      </c>
      <c r="G17" s="86" t="e">
        <f>Assumptions!$C$17+Assumptions!#REF!</f>
        <v>#REF!</v>
      </c>
      <c r="H17" s="86" t="e">
        <f>Assumptions!$C$17+Assumptions!#REF!</f>
        <v>#REF!</v>
      </c>
      <c r="I17" s="86" t="e">
        <f>Assumptions!$D$17+Assumptions!#REF!</f>
        <v>#REF!</v>
      </c>
      <c r="J17" s="86" t="e">
        <f>Assumptions!$D$17+Assumptions!#REF!</f>
        <v>#REF!</v>
      </c>
      <c r="K17" s="86" t="e">
        <f>Assumptions!$D$17+Assumptions!#REF!</f>
        <v>#REF!</v>
      </c>
      <c r="L17" s="86" t="e">
        <f>Assumptions!$E$17+Assumptions!#REF!</f>
        <v>#REF!</v>
      </c>
      <c r="M17" s="86" t="e">
        <f>Assumptions!$E$17+Assumptions!#REF!</f>
        <v>#REF!</v>
      </c>
      <c r="N17" s="86" t="e">
        <f>Assumptions!$E$17+Assumptions!#REF!</f>
        <v>#REF!</v>
      </c>
      <c r="O17" s="86" t="e">
        <f>Assumptions!$E$17+Assumptions!#REF!</f>
        <v>#REF!</v>
      </c>
      <c r="P17" s="102" t="e">
        <f>SUM(D17:O17)</f>
        <v>#REF!</v>
      </c>
      <c r="R17" s="85" t="e">
        <f t="shared" si="0"/>
        <v>#REF!</v>
      </c>
      <c r="AD17" s="85" t="e">
        <f t="shared" si="5"/>
        <v>#REF!</v>
      </c>
      <c r="AE17" s="89" t="e">
        <f t="shared" si="2"/>
        <v>#REF!</v>
      </c>
    </row>
    <row r="18" spans="1:31" ht="12.75" hidden="1" outlineLevel="1">
      <c r="A18" s="4"/>
      <c r="B18" s="54" t="s">
        <v>521</v>
      </c>
      <c r="C18" s="55" t="s">
        <v>522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102"/>
      <c r="R18" s="85">
        <f t="shared" si="0"/>
        <v>0</v>
      </c>
      <c r="AD18" s="85">
        <f t="shared" si="5"/>
        <v>0</v>
      </c>
      <c r="AE18" s="89">
        <f t="shared" si="2"/>
        <v>0</v>
      </c>
    </row>
    <row r="19" spans="1:31" ht="12.75" hidden="1" outlineLevel="1">
      <c r="A19" s="4"/>
      <c r="B19" s="54" t="s">
        <v>523</v>
      </c>
      <c r="C19" s="55" t="s">
        <v>524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R19" s="85">
        <f t="shared" si="0"/>
        <v>0</v>
      </c>
      <c r="AD19" s="85">
        <f t="shared" si="5"/>
        <v>0</v>
      </c>
      <c r="AE19" s="89">
        <f t="shared" si="2"/>
        <v>0</v>
      </c>
    </row>
    <row r="20" spans="1:31" ht="12.75" hidden="1" outlineLevel="1">
      <c r="A20" s="4"/>
      <c r="B20" s="111">
        <v>3210</v>
      </c>
      <c r="C20" s="55" t="s">
        <v>565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102">
        <f>SUM(D20:O20)</f>
        <v>0</v>
      </c>
      <c r="R20" s="85">
        <f t="shared" si="0"/>
        <v>0</v>
      </c>
      <c r="AD20" s="85">
        <f t="shared" si="5"/>
        <v>0</v>
      </c>
      <c r="AE20" s="89"/>
    </row>
    <row r="21" spans="1:31" ht="12.75" hidden="1" outlineLevel="1">
      <c r="A21" s="4"/>
      <c r="B21" s="54">
        <v>3220</v>
      </c>
      <c r="C21" s="55" t="s">
        <v>525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R21" s="85">
        <f t="shared" si="0"/>
        <v>0</v>
      </c>
      <c r="AD21" s="85">
        <f t="shared" si="5"/>
        <v>0</v>
      </c>
      <c r="AE21" s="89">
        <f t="shared" si="2"/>
        <v>0</v>
      </c>
    </row>
    <row r="22" spans="1:31" ht="12.75" hidden="1" outlineLevel="1">
      <c r="A22" s="4"/>
      <c r="B22" s="54">
        <v>3230</v>
      </c>
      <c r="C22" s="55" t="s">
        <v>571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R22" s="85">
        <f t="shared" si="0"/>
        <v>0</v>
      </c>
      <c r="AD22" s="85">
        <f t="shared" si="5"/>
        <v>0</v>
      </c>
      <c r="AE22" s="89">
        <f t="shared" si="2"/>
        <v>0</v>
      </c>
    </row>
    <row r="23" spans="1:31" ht="12.75" hidden="1" outlineLevel="1">
      <c r="A23" s="4"/>
      <c r="B23" s="54">
        <v>3290</v>
      </c>
      <c r="C23" s="55" t="s">
        <v>526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AD23" s="85">
        <f t="shared" si="5"/>
        <v>0</v>
      </c>
      <c r="AE23" s="89">
        <f t="shared" si="2"/>
        <v>0</v>
      </c>
    </row>
    <row r="24" spans="1:31" ht="12.75" hidden="1" outlineLevel="1">
      <c r="A24" s="4"/>
      <c r="B24" s="56"/>
      <c r="C24" s="5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AE24" s="89"/>
    </row>
    <row r="25" spans="2:31" s="60" customFormat="1" ht="12.75" collapsed="1">
      <c r="B25" s="87"/>
      <c r="C25" s="90" t="s">
        <v>527</v>
      </c>
      <c r="D25" s="82" t="e">
        <f>SUM(D15:D24)</f>
        <v>#REF!</v>
      </c>
      <c r="E25" s="82" t="e">
        <f aca="true" t="shared" si="6" ref="E25:R25">SUM(E15:E24)</f>
        <v>#REF!</v>
      </c>
      <c r="F25" s="82" t="e">
        <f t="shared" si="6"/>
        <v>#REF!</v>
      </c>
      <c r="G25" s="82" t="e">
        <f t="shared" si="6"/>
        <v>#REF!</v>
      </c>
      <c r="H25" s="82" t="e">
        <f t="shared" si="6"/>
        <v>#REF!</v>
      </c>
      <c r="I25" s="82" t="e">
        <f t="shared" si="6"/>
        <v>#REF!</v>
      </c>
      <c r="J25" s="82" t="e">
        <f t="shared" si="6"/>
        <v>#REF!</v>
      </c>
      <c r="K25" s="82" t="e">
        <f t="shared" si="6"/>
        <v>#REF!</v>
      </c>
      <c r="L25" s="82" t="e">
        <f t="shared" si="6"/>
        <v>#REF!</v>
      </c>
      <c r="M25" s="82" t="e">
        <f t="shared" si="6"/>
        <v>#REF!</v>
      </c>
      <c r="N25" s="82" t="e">
        <f t="shared" si="6"/>
        <v>#REF!</v>
      </c>
      <c r="O25" s="82" t="e">
        <f t="shared" si="6"/>
        <v>#REF!</v>
      </c>
      <c r="P25" s="82" t="e">
        <f t="shared" si="6"/>
        <v>#REF!</v>
      </c>
      <c r="Q25" s="82"/>
      <c r="R25" s="82" t="e">
        <f t="shared" si="6"/>
        <v>#REF!</v>
      </c>
      <c r="S25" s="82">
        <f aca="true" t="shared" si="7" ref="S25:AD25">SUM(S15:S24)</f>
        <v>0</v>
      </c>
      <c r="T25" s="82">
        <f t="shared" si="7"/>
        <v>0</v>
      </c>
      <c r="U25" s="82">
        <f t="shared" si="7"/>
        <v>0</v>
      </c>
      <c r="V25" s="82">
        <f t="shared" si="7"/>
        <v>0</v>
      </c>
      <c r="W25" s="82">
        <f t="shared" si="7"/>
        <v>0</v>
      </c>
      <c r="X25" s="82">
        <f t="shared" si="7"/>
        <v>0</v>
      </c>
      <c r="Y25" s="82">
        <f t="shared" si="7"/>
        <v>0</v>
      </c>
      <c r="Z25" s="82">
        <f t="shared" si="7"/>
        <v>0</v>
      </c>
      <c r="AA25" s="82"/>
      <c r="AB25" s="82">
        <f t="shared" si="7"/>
        <v>0</v>
      </c>
      <c r="AC25" s="82">
        <f t="shared" si="7"/>
        <v>0</v>
      </c>
      <c r="AD25" s="82" t="e">
        <f t="shared" si="7"/>
        <v>#REF!</v>
      </c>
      <c r="AE25" s="91" t="e">
        <f t="shared" si="2"/>
        <v>#REF!</v>
      </c>
    </row>
    <row r="26" spans="1:15" ht="9" customHeight="1">
      <c r="A26" s="4"/>
      <c r="B26" s="56"/>
      <c r="C26" s="5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2.75" hidden="1" outlineLevel="1">
      <c r="A27" s="4"/>
      <c r="B27" s="56" t="s">
        <v>528</v>
      </c>
      <c r="C27" s="53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31" ht="12.75" hidden="1" outlineLevel="1">
      <c r="A28" s="4"/>
      <c r="B28" s="54">
        <v>4110</v>
      </c>
      <c r="C28" s="55" t="s">
        <v>529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R28" s="85">
        <f>P28-S28-T28-U28-V28-W28-X28-Y28-Z28-AB28-AC28</f>
        <v>0</v>
      </c>
      <c r="AD28" s="85">
        <f aca="true" t="shared" si="8" ref="AD28:AD46">SUM(R28:AC28)</f>
        <v>0</v>
      </c>
      <c r="AE28" s="89">
        <f aca="true" t="shared" si="9" ref="AE28:AE48">P28-AD28</f>
        <v>0</v>
      </c>
    </row>
    <row r="29" spans="1:31" ht="12.75" hidden="1" outlineLevel="1">
      <c r="A29" s="4"/>
      <c r="B29" s="54">
        <v>4300</v>
      </c>
      <c r="C29" s="55" t="s">
        <v>530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R29" s="85">
        <f aca="true" t="shared" si="10" ref="R29:R46">P29-S29-T29-U29-V29-W29-X29-Y29-Z29-AB29-AC29</f>
        <v>0</v>
      </c>
      <c r="AD29" s="85">
        <f t="shared" si="8"/>
        <v>0</v>
      </c>
      <c r="AE29" s="89">
        <f t="shared" si="9"/>
        <v>0</v>
      </c>
    </row>
    <row r="30" spans="1:31" ht="12.75" hidden="1" outlineLevel="1">
      <c r="A30" s="4"/>
      <c r="B30" s="54">
        <v>4515</v>
      </c>
      <c r="C30" s="55" t="s">
        <v>564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5"/>
      <c r="R30" s="85">
        <f t="shared" si="10"/>
        <v>0</v>
      </c>
      <c r="AD30" s="85">
        <f t="shared" si="8"/>
        <v>0</v>
      </c>
      <c r="AE30" s="89">
        <f t="shared" si="9"/>
        <v>0</v>
      </c>
    </row>
    <row r="31" spans="1:31" ht="12.75" hidden="1" outlineLevel="1">
      <c r="A31" s="4"/>
      <c r="B31" s="54">
        <v>4530</v>
      </c>
      <c r="C31" s="55" t="s">
        <v>565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R31" s="85">
        <f t="shared" si="10"/>
        <v>0</v>
      </c>
      <c r="AD31" s="85">
        <f t="shared" si="8"/>
        <v>0</v>
      </c>
      <c r="AE31" s="89">
        <f t="shared" si="9"/>
        <v>0</v>
      </c>
    </row>
    <row r="32" spans="1:31" ht="12.75" hidden="1" outlineLevel="1">
      <c r="A32" s="4"/>
      <c r="B32" s="54">
        <v>4531</v>
      </c>
      <c r="C32" s="55" t="s">
        <v>531</v>
      </c>
      <c r="D32" s="86"/>
      <c r="E32" s="86">
        <f>P32/4</f>
        <v>22393.5</v>
      </c>
      <c r="F32" s="86"/>
      <c r="G32" s="86"/>
      <c r="H32" s="86"/>
      <c r="I32" s="86">
        <f>P32/4</f>
        <v>22393.5</v>
      </c>
      <c r="J32" s="86"/>
      <c r="K32" s="86"/>
      <c r="L32" s="86">
        <f>P32/4</f>
        <v>22393.5</v>
      </c>
      <c r="M32" s="86"/>
      <c r="N32" s="86"/>
      <c r="O32" s="86">
        <f>P32/4</f>
        <v>22393.5</v>
      </c>
      <c r="P32" s="85">
        <v>89574</v>
      </c>
      <c r="R32" s="85">
        <f t="shared" si="10"/>
        <v>0</v>
      </c>
      <c r="AB32" s="85">
        <v>89574</v>
      </c>
      <c r="AC32" s="85"/>
      <c r="AD32" s="85">
        <f t="shared" si="8"/>
        <v>89574</v>
      </c>
      <c r="AE32" s="89">
        <f t="shared" si="9"/>
        <v>0</v>
      </c>
    </row>
    <row r="33" spans="1:31" ht="12.75" hidden="1" outlineLevel="1">
      <c r="A33" s="4"/>
      <c r="B33" s="54">
        <v>4532</v>
      </c>
      <c r="C33" s="55" t="s">
        <v>532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R33" s="85">
        <f t="shared" si="10"/>
        <v>0</v>
      </c>
      <c r="AD33" s="85">
        <f t="shared" si="8"/>
        <v>0</v>
      </c>
      <c r="AE33" s="89">
        <f t="shared" si="9"/>
        <v>0</v>
      </c>
    </row>
    <row r="34" spans="1:31" ht="12.75" hidden="1" outlineLevel="1">
      <c r="A34" s="4"/>
      <c r="B34" s="54">
        <v>4535</v>
      </c>
      <c r="C34" s="55" t="s">
        <v>533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R34" s="85">
        <f t="shared" si="10"/>
        <v>0</v>
      </c>
      <c r="AD34" s="85">
        <f t="shared" si="8"/>
        <v>0</v>
      </c>
      <c r="AE34" s="89">
        <f t="shared" si="9"/>
        <v>0</v>
      </c>
    </row>
    <row r="35" spans="1:31" ht="12.75" hidden="1" outlineLevel="1">
      <c r="A35" s="4"/>
      <c r="B35" s="54">
        <v>4540</v>
      </c>
      <c r="C35" s="55" t="s">
        <v>534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R35" s="85">
        <f t="shared" si="10"/>
        <v>0</v>
      </c>
      <c r="AD35" s="85">
        <f t="shared" si="8"/>
        <v>0</v>
      </c>
      <c r="AE35" s="89">
        <f t="shared" si="9"/>
        <v>0</v>
      </c>
    </row>
    <row r="36" spans="1:31" ht="12.75" hidden="1" outlineLevel="1">
      <c r="A36" s="4"/>
      <c r="B36" s="54">
        <v>4541</v>
      </c>
      <c r="C36" s="55" t="s">
        <v>535</v>
      </c>
      <c r="D36" s="86"/>
      <c r="E36" s="86"/>
      <c r="F36" s="86">
        <f>P36/4</f>
        <v>94928.25</v>
      </c>
      <c r="G36" s="86"/>
      <c r="H36" s="86"/>
      <c r="I36" s="86">
        <f>P36/4</f>
        <v>94928.25</v>
      </c>
      <c r="J36" s="86"/>
      <c r="K36" s="86"/>
      <c r="L36" s="86">
        <f>P36/4</f>
        <v>94928.25</v>
      </c>
      <c r="M36" s="86"/>
      <c r="N36" s="86"/>
      <c r="O36" s="86">
        <f>P36/4</f>
        <v>94928.25</v>
      </c>
      <c r="P36" s="85">
        <v>379713</v>
      </c>
      <c r="R36" s="85">
        <f t="shared" si="10"/>
        <v>0</v>
      </c>
      <c r="S36" s="85">
        <v>379713</v>
      </c>
      <c r="T36" s="234"/>
      <c r="U36" s="234"/>
      <c r="AD36" s="85">
        <f t="shared" si="8"/>
        <v>379713</v>
      </c>
      <c r="AE36" s="89">
        <f t="shared" si="9"/>
        <v>0</v>
      </c>
    </row>
    <row r="37" spans="1:31" ht="12.75" hidden="1" outlineLevel="1">
      <c r="A37" s="4"/>
      <c r="B37" s="54">
        <v>4542</v>
      </c>
      <c r="C37" s="55" t="s">
        <v>536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R37" s="85">
        <f t="shared" si="10"/>
        <v>0</v>
      </c>
      <c r="AD37" s="85">
        <f t="shared" si="8"/>
        <v>0</v>
      </c>
      <c r="AE37" s="89">
        <f t="shared" si="9"/>
        <v>0</v>
      </c>
    </row>
    <row r="38" spans="1:31" ht="12.75" hidden="1" outlineLevel="1">
      <c r="A38" s="4"/>
      <c r="B38" s="54">
        <v>4543</v>
      </c>
      <c r="C38" s="55" t="s">
        <v>537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5"/>
      <c r="R38" s="85">
        <f t="shared" si="10"/>
        <v>0</v>
      </c>
      <c r="W38" s="85"/>
      <c r="AD38" s="85">
        <f t="shared" si="8"/>
        <v>0</v>
      </c>
      <c r="AE38" s="89">
        <f t="shared" si="9"/>
        <v>0</v>
      </c>
    </row>
    <row r="39" spans="1:31" ht="12.75" hidden="1" outlineLevel="1">
      <c r="A39" s="4"/>
      <c r="B39" s="54">
        <v>4544</v>
      </c>
      <c r="C39" s="55" t="s">
        <v>538</v>
      </c>
      <c r="D39" s="86"/>
      <c r="E39" s="86"/>
      <c r="F39" s="86">
        <f>P39</f>
        <v>4260</v>
      </c>
      <c r="G39" s="86"/>
      <c r="H39" s="86"/>
      <c r="I39" s="86"/>
      <c r="J39" s="86"/>
      <c r="K39" s="86"/>
      <c r="L39" s="86"/>
      <c r="M39" s="86"/>
      <c r="N39" s="86"/>
      <c r="O39" s="86"/>
      <c r="P39" s="85">
        <v>4260</v>
      </c>
      <c r="R39" s="85">
        <f t="shared" si="10"/>
        <v>0</v>
      </c>
      <c r="W39" s="86">
        <v>4260</v>
      </c>
      <c r="X39" s="85"/>
      <c r="Y39" s="85"/>
      <c r="Z39" s="85"/>
      <c r="AA39" s="85"/>
      <c r="AB39" s="85"/>
      <c r="AD39" s="85">
        <f t="shared" si="8"/>
        <v>4260</v>
      </c>
      <c r="AE39" s="89">
        <f t="shared" si="9"/>
        <v>0</v>
      </c>
    </row>
    <row r="40" spans="1:31" ht="12.75" hidden="1" outlineLevel="1">
      <c r="A40" s="4"/>
      <c r="B40" s="54">
        <v>4545</v>
      </c>
      <c r="C40" s="55" t="s">
        <v>539</v>
      </c>
      <c r="D40" s="86">
        <f>P40/3</f>
        <v>22035.666666666668</v>
      </c>
      <c r="E40" s="86"/>
      <c r="F40" s="86"/>
      <c r="G40" s="86"/>
      <c r="H40" s="86"/>
      <c r="I40" s="86"/>
      <c r="J40" s="86"/>
      <c r="K40" s="86"/>
      <c r="L40" s="86"/>
      <c r="M40" s="86"/>
      <c r="N40" s="86">
        <f>P40/3</f>
        <v>22035.666666666668</v>
      </c>
      <c r="O40" s="86">
        <f>P40/3</f>
        <v>22035.666666666668</v>
      </c>
      <c r="P40" s="85">
        <v>66107</v>
      </c>
      <c r="R40" s="85">
        <f t="shared" si="10"/>
        <v>0</v>
      </c>
      <c r="V40" s="85">
        <v>66107</v>
      </c>
      <c r="AD40" s="85">
        <f t="shared" si="8"/>
        <v>66107</v>
      </c>
      <c r="AE40" s="89">
        <f t="shared" si="9"/>
        <v>0</v>
      </c>
    </row>
    <row r="41" spans="1:31" ht="12.75" hidden="1" outlineLevel="1">
      <c r="A41" s="4"/>
      <c r="B41" s="54">
        <v>4546</v>
      </c>
      <c r="C41" s="55" t="s">
        <v>540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R41" s="85">
        <f t="shared" si="10"/>
        <v>0</v>
      </c>
      <c r="AD41" s="85">
        <f t="shared" si="8"/>
        <v>0</v>
      </c>
      <c r="AE41" s="89">
        <f t="shared" si="9"/>
        <v>0</v>
      </c>
    </row>
    <row r="42" spans="1:31" ht="12.75" hidden="1" outlineLevel="1">
      <c r="A42" s="4"/>
      <c r="B42" s="54">
        <v>4590</v>
      </c>
      <c r="C42" s="55" t="s">
        <v>541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R42" s="85">
        <f t="shared" si="10"/>
        <v>0</v>
      </c>
      <c r="AD42" s="85">
        <f t="shared" si="8"/>
        <v>0</v>
      </c>
      <c r="AE42" s="89">
        <f t="shared" si="9"/>
        <v>0</v>
      </c>
    </row>
    <row r="43" spans="1:31" ht="12.75" hidden="1" outlineLevel="1">
      <c r="A43" s="4"/>
      <c r="B43" s="56"/>
      <c r="C43" s="58" t="s">
        <v>542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R43" s="85">
        <f t="shared" si="10"/>
        <v>0</v>
      </c>
      <c r="AD43" s="85">
        <f t="shared" si="8"/>
        <v>0</v>
      </c>
      <c r="AE43" s="89">
        <f t="shared" si="9"/>
        <v>0</v>
      </c>
    </row>
    <row r="44" spans="1:31" ht="12.75" hidden="1" outlineLevel="1">
      <c r="A44" s="4"/>
      <c r="B44" s="56"/>
      <c r="C44" s="58" t="s">
        <v>261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5"/>
      <c r="R44" s="85">
        <f>P44-S44-T44-U44-V44-W44-X44-Y44-Z44-AB44-AC44-AA44</f>
        <v>0</v>
      </c>
      <c r="AA44" s="85"/>
      <c r="AD44" s="85">
        <f t="shared" si="8"/>
        <v>0</v>
      </c>
      <c r="AE44" s="89">
        <f t="shared" si="9"/>
        <v>0</v>
      </c>
    </row>
    <row r="45" spans="1:31" ht="12.75" hidden="1" outlineLevel="1">
      <c r="A45" s="4"/>
      <c r="B45" s="56"/>
      <c r="C45" s="58" t="s">
        <v>162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R45" s="85">
        <f t="shared" si="10"/>
        <v>0</v>
      </c>
      <c r="Z45" s="85"/>
      <c r="AA45" s="85"/>
      <c r="AD45" s="85">
        <f t="shared" si="8"/>
        <v>0</v>
      </c>
      <c r="AE45" s="89">
        <f t="shared" si="9"/>
        <v>0</v>
      </c>
    </row>
    <row r="46" spans="1:31" ht="12.75" hidden="1" outlineLevel="1">
      <c r="A46" s="4"/>
      <c r="B46" s="56"/>
      <c r="C46" s="58" t="s">
        <v>163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R46" s="85">
        <f t="shared" si="10"/>
        <v>-84041</v>
      </c>
      <c r="Y46" s="85">
        <v>84041</v>
      </c>
      <c r="AD46" s="85">
        <f t="shared" si="8"/>
        <v>0</v>
      </c>
      <c r="AE46" s="89">
        <f t="shared" si="9"/>
        <v>0</v>
      </c>
    </row>
    <row r="47" spans="1:31" ht="12.75" hidden="1" outlineLevel="1">
      <c r="A47" s="4"/>
      <c r="B47" s="56"/>
      <c r="C47" s="4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AE47" s="89"/>
    </row>
    <row r="48" spans="2:31" s="60" customFormat="1" ht="12.75" collapsed="1">
      <c r="B48" s="87"/>
      <c r="C48" s="90" t="s">
        <v>543</v>
      </c>
      <c r="D48" s="82">
        <f>SUM(D27:D47)</f>
        <v>22035.666666666668</v>
      </c>
      <c r="E48" s="82">
        <f aca="true" t="shared" si="11" ref="E48:P48">SUM(E27:E47)</f>
        <v>22393.5</v>
      </c>
      <c r="F48" s="82">
        <f t="shared" si="11"/>
        <v>99188.25</v>
      </c>
      <c r="G48" s="82">
        <f t="shared" si="11"/>
        <v>0</v>
      </c>
      <c r="H48" s="82">
        <f t="shared" si="11"/>
        <v>0</v>
      </c>
      <c r="I48" s="82">
        <f t="shared" si="11"/>
        <v>117321.75</v>
      </c>
      <c r="J48" s="82">
        <f t="shared" si="11"/>
        <v>0</v>
      </c>
      <c r="K48" s="82">
        <f t="shared" si="11"/>
        <v>0</v>
      </c>
      <c r="L48" s="82">
        <f t="shared" si="11"/>
        <v>117321.75</v>
      </c>
      <c r="M48" s="82">
        <f t="shared" si="11"/>
        <v>0</v>
      </c>
      <c r="N48" s="82">
        <f t="shared" si="11"/>
        <v>22035.666666666668</v>
      </c>
      <c r="O48" s="82">
        <f t="shared" si="11"/>
        <v>139357.41666666666</v>
      </c>
      <c r="P48" s="82">
        <f t="shared" si="11"/>
        <v>539654</v>
      </c>
      <c r="R48" s="82">
        <f aca="true" t="shared" si="12" ref="R48:AD48">SUM(R27:R47)</f>
        <v>-84041</v>
      </c>
      <c r="S48" s="82">
        <f t="shared" si="12"/>
        <v>379713</v>
      </c>
      <c r="T48" s="82">
        <f t="shared" si="12"/>
        <v>0</v>
      </c>
      <c r="U48" s="82">
        <f t="shared" si="12"/>
        <v>0</v>
      </c>
      <c r="V48" s="82">
        <f t="shared" si="12"/>
        <v>66107</v>
      </c>
      <c r="W48" s="82"/>
      <c r="X48" s="82">
        <f t="shared" si="12"/>
        <v>0</v>
      </c>
      <c r="Y48" s="82">
        <f t="shared" si="12"/>
        <v>84041</v>
      </c>
      <c r="Z48" s="82">
        <f t="shared" si="12"/>
        <v>0</v>
      </c>
      <c r="AA48" s="82">
        <f t="shared" si="12"/>
        <v>0</v>
      </c>
      <c r="AB48" s="82">
        <f t="shared" si="12"/>
        <v>89574</v>
      </c>
      <c r="AC48" s="82">
        <f t="shared" si="12"/>
        <v>0</v>
      </c>
      <c r="AD48" s="82">
        <f t="shared" si="12"/>
        <v>539654</v>
      </c>
      <c r="AE48" s="89">
        <f t="shared" si="9"/>
        <v>0</v>
      </c>
    </row>
    <row r="49" spans="1:15" ht="9.75" customHeight="1">
      <c r="A49" s="4"/>
      <c r="B49" s="56"/>
      <c r="C49" s="4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1:15" ht="12.75" hidden="1" outlineLevel="1">
      <c r="A50" s="4"/>
      <c r="B50" s="58" t="s">
        <v>544</v>
      </c>
      <c r="C50" s="59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1:31" ht="12.75" hidden="1" outlineLevel="1">
      <c r="A51" s="4"/>
      <c r="C51" s="58" t="s">
        <v>545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9">
        <f>SUM(D51:O51)</f>
        <v>0</v>
      </c>
      <c r="R51" s="85">
        <f>P51-S51-V51-W51-X51-AC51</f>
        <v>0</v>
      </c>
      <c r="AD51" s="85">
        <f>SUM(R51:AC51)</f>
        <v>0</v>
      </c>
      <c r="AE51" s="89">
        <f aca="true" t="shared" si="13" ref="AE51:AE57">P51-AD51</f>
        <v>0</v>
      </c>
    </row>
    <row r="52" spans="1:31" ht="12.75" hidden="1" outlineLevel="1">
      <c r="A52" s="4"/>
      <c r="C52" s="58" t="s">
        <v>546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9">
        <f>SUM(D52:O52)</f>
        <v>0</v>
      </c>
      <c r="R52" s="85">
        <f>P52-S52-V52-W52-X52-AC52</f>
        <v>0</v>
      </c>
      <c r="AD52" s="85">
        <f>SUM(R52:AC52)</f>
        <v>0</v>
      </c>
      <c r="AE52" s="89">
        <f t="shared" si="13"/>
        <v>0</v>
      </c>
    </row>
    <row r="53" spans="1:31" ht="12.75" hidden="1" outlineLevel="1">
      <c r="A53" s="4"/>
      <c r="C53" s="58" t="s">
        <v>547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9">
        <f>SUM(D53:O53)</f>
        <v>0</v>
      </c>
      <c r="R53" s="85">
        <f>P53-S53-V53-W53-X53-AC53</f>
        <v>0</v>
      </c>
      <c r="AD53" s="85">
        <f>SUM(R53:AC53)</f>
        <v>0</v>
      </c>
      <c r="AE53" s="89">
        <f t="shared" si="13"/>
        <v>0</v>
      </c>
    </row>
    <row r="54" spans="1:31" ht="12.75" hidden="1" outlineLevel="1">
      <c r="A54" s="4"/>
      <c r="B54" s="58"/>
      <c r="C54" s="59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AE54" s="89"/>
    </row>
    <row r="55" spans="3:31" s="60" customFormat="1" ht="12.75" collapsed="1">
      <c r="C55" s="92" t="s">
        <v>548</v>
      </c>
      <c r="D55" s="82">
        <f>SUM(D50:D54)</f>
        <v>0</v>
      </c>
      <c r="E55" s="82">
        <f aca="true" t="shared" si="14" ref="E55:AD55">SUM(E50:E54)</f>
        <v>0</v>
      </c>
      <c r="F55" s="82">
        <f t="shared" si="14"/>
        <v>0</v>
      </c>
      <c r="G55" s="82">
        <f t="shared" si="14"/>
        <v>0</v>
      </c>
      <c r="H55" s="82">
        <f t="shared" si="14"/>
        <v>0</v>
      </c>
      <c r="I55" s="82">
        <f t="shared" si="14"/>
        <v>0</v>
      </c>
      <c r="J55" s="82">
        <f t="shared" si="14"/>
        <v>0</v>
      </c>
      <c r="K55" s="82">
        <f t="shared" si="14"/>
        <v>0</v>
      </c>
      <c r="L55" s="82">
        <f t="shared" si="14"/>
        <v>0</v>
      </c>
      <c r="M55" s="82">
        <f t="shared" si="14"/>
        <v>0</v>
      </c>
      <c r="N55" s="82">
        <f t="shared" si="14"/>
        <v>0</v>
      </c>
      <c r="O55" s="82">
        <f t="shared" si="14"/>
        <v>0</v>
      </c>
      <c r="P55" s="82">
        <f t="shared" si="14"/>
        <v>0</v>
      </c>
      <c r="Q55" s="82"/>
      <c r="R55" s="207">
        <f t="shared" si="14"/>
        <v>0</v>
      </c>
      <c r="S55" s="207">
        <f t="shared" si="14"/>
        <v>0</v>
      </c>
      <c r="T55" s="207">
        <f t="shared" si="14"/>
        <v>0</v>
      </c>
      <c r="U55" s="207">
        <f t="shared" si="14"/>
        <v>0</v>
      </c>
      <c r="V55" s="207">
        <f t="shared" si="14"/>
        <v>0</v>
      </c>
      <c r="W55" s="207">
        <f t="shared" si="14"/>
        <v>0</v>
      </c>
      <c r="X55" s="207">
        <f t="shared" si="14"/>
        <v>0</v>
      </c>
      <c r="Y55" s="207">
        <f t="shared" si="14"/>
        <v>0</v>
      </c>
      <c r="Z55" s="207">
        <f t="shared" si="14"/>
        <v>0</v>
      </c>
      <c r="AA55" s="207"/>
      <c r="AB55" s="207">
        <f t="shared" si="14"/>
        <v>0</v>
      </c>
      <c r="AC55" s="207">
        <f t="shared" si="14"/>
        <v>0</v>
      </c>
      <c r="AD55" s="207">
        <f t="shared" si="14"/>
        <v>0</v>
      </c>
      <c r="AE55" s="89">
        <f t="shared" si="13"/>
        <v>0</v>
      </c>
    </row>
    <row r="56" spans="1:15" ht="9" customHeight="1">
      <c r="A56" s="4"/>
      <c r="B56" s="56"/>
      <c r="C56" s="55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1:31" ht="12.75">
      <c r="A57" s="60"/>
      <c r="C57" s="154" t="s">
        <v>549</v>
      </c>
      <c r="D57" s="158" t="e">
        <f aca="true" t="shared" si="15" ref="D57:P57">D13+D25+D48+D55</f>
        <v>#REF!</v>
      </c>
      <c r="E57" s="158" t="e">
        <f t="shared" si="15"/>
        <v>#REF!</v>
      </c>
      <c r="F57" s="158" t="e">
        <f t="shared" si="15"/>
        <v>#REF!</v>
      </c>
      <c r="G57" s="158" t="e">
        <f t="shared" si="15"/>
        <v>#REF!</v>
      </c>
      <c r="H57" s="158" t="e">
        <f t="shared" si="15"/>
        <v>#REF!</v>
      </c>
      <c r="I57" s="158" t="e">
        <f t="shared" si="15"/>
        <v>#REF!</v>
      </c>
      <c r="J57" s="158" t="e">
        <f t="shared" si="15"/>
        <v>#REF!</v>
      </c>
      <c r="K57" s="158" t="e">
        <f t="shared" si="15"/>
        <v>#REF!</v>
      </c>
      <c r="L57" s="158" t="e">
        <f t="shared" si="15"/>
        <v>#REF!</v>
      </c>
      <c r="M57" s="158" t="e">
        <f t="shared" si="15"/>
        <v>#REF!</v>
      </c>
      <c r="N57" s="158" t="e">
        <f t="shared" si="15"/>
        <v>#REF!</v>
      </c>
      <c r="O57" s="158" t="e">
        <f t="shared" si="15"/>
        <v>#REF!</v>
      </c>
      <c r="P57" s="158" t="e">
        <f t="shared" si="15"/>
        <v>#REF!</v>
      </c>
      <c r="Q57" s="159"/>
      <c r="R57" s="158" t="e">
        <f aca="true" t="shared" si="16" ref="R57:AD57">R13+R25+R48+R55</f>
        <v>#REF!</v>
      </c>
      <c r="S57" s="158">
        <f t="shared" si="16"/>
        <v>379713</v>
      </c>
      <c r="T57" s="158">
        <f t="shared" si="16"/>
        <v>0</v>
      </c>
      <c r="U57" s="158">
        <f t="shared" si="16"/>
        <v>0</v>
      </c>
      <c r="V57" s="158">
        <f t="shared" si="16"/>
        <v>66107</v>
      </c>
      <c r="W57" s="158">
        <f t="shared" si="16"/>
        <v>0</v>
      </c>
      <c r="X57" s="158">
        <f t="shared" si="16"/>
        <v>0</v>
      </c>
      <c r="Y57" s="158">
        <f t="shared" si="16"/>
        <v>84041</v>
      </c>
      <c r="Z57" s="158">
        <f t="shared" si="16"/>
        <v>0</v>
      </c>
      <c r="AA57" s="158">
        <f t="shared" si="16"/>
        <v>0</v>
      </c>
      <c r="AB57" s="158">
        <f t="shared" si="16"/>
        <v>89574</v>
      </c>
      <c r="AC57" s="158">
        <f t="shared" si="16"/>
        <v>0</v>
      </c>
      <c r="AD57" s="158" t="e">
        <f t="shared" si="16"/>
        <v>#REF!</v>
      </c>
      <c r="AE57" s="89" t="e">
        <f t="shared" si="13"/>
        <v>#REF!</v>
      </c>
    </row>
    <row r="58" spans="1:15" ht="12.75">
      <c r="A58" s="61"/>
      <c r="B58" s="61"/>
      <c r="C58" s="61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 ht="12.75">
      <c r="B59" s="57"/>
      <c r="C59" s="62" t="s">
        <v>550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1:15" ht="12.75" hidden="1" outlineLevel="1">
      <c r="A60" s="4"/>
      <c r="B60" s="53" t="s">
        <v>551</v>
      </c>
      <c r="C60" s="53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1:31" ht="12.75" hidden="1" outlineLevel="1">
      <c r="A61" s="4"/>
      <c r="B61" s="70">
        <v>1105112</v>
      </c>
      <c r="C61" s="53" t="s">
        <v>349</v>
      </c>
      <c r="D61" s="86">
        <f>$P$61/12</f>
        <v>7660.5</v>
      </c>
      <c r="E61" s="86">
        <f aca="true" t="shared" si="17" ref="E61:O61">$P$61/12</f>
        <v>7660.5</v>
      </c>
      <c r="F61" s="86">
        <f t="shared" si="17"/>
        <v>7660.5</v>
      </c>
      <c r="G61" s="86">
        <f t="shared" si="17"/>
        <v>7660.5</v>
      </c>
      <c r="H61" s="86">
        <f t="shared" si="17"/>
        <v>7660.5</v>
      </c>
      <c r="I61" s="86">
        <f t="shared" si="17"/>
        <v>7660.5</v>
      </c>
      <c r="J61" s="86">
        <f t="shared" si="17"/>
        <v>7660.5</v>
      </c>
      <c r="K61" s="86">
        <f t="shared" si="17"/>
        <v>7660.5</v>
      </c>
      <c r="L61" s="86">
        <f t="shared" si="17"/>
        <v>7660.5</v>
      </c>
      <c r="M61" s="86">
        <f t="shared" si="17"/>
        <v>7660.5</v>
      </c>
      <c r="N61" s="86">
        <f t="shared" si="17"/>
        <v>7660.5</v>
      </c>
      <c r="O61" s="86">
        <f t="shared" si="17"/>
        <v>7660.5</v>
      </c>
      <c r="P61" s="86">
        <f>Staffing!D6</f>
        <v>91926</v>
      </c>
      <c r="R61" s="102">
        <f>P61-S61-T61-U61-V61-W61-X61-Y61-Z61-AB61-AC61</f>
        <v>91926</v>
      </c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02">
        <f aca="true" t="shared" si="18" ref="AD61:AD74">SUM(R61:AC61)</f>
        <v>91926</v>
      </c>
      <c r="AE61" s="89">
        <f aca="true" t="shared" si="19" ref="AE61:AE76">P61-AD61</f>
        <v>0</v>
      </c>
    </row>
    <row r="62" spans="1:31" ht="12.75" hidden="1" outlineLevel="1">
      <c r="A62" s="4"/>
      <c r="B62" s="56">
        <v>1100112</v>
      </c>
      <c r="C62" s="53" t="s">
        <v>552</v>
      </c>
      <c r="D62" s="86">
        <f>$P$62/12</f>
        <v>100966.41666666667</v>
      </c>
      <c r="E62" s="86">
        <f aca="true" t="shared" si="20" ref="E62:O62">$P$62/12</f>
        <v>100966.41666666667</v>
      </c>
      <c r="F62" s="86">
        <f t="shared" si="20"/>
        <v>100966.41666666667</v>
      </c>
      <c r="G62" s="86">
        <f t="shared" si="20"/>
        <v>100966.41666666667</v>
      </c>
      <c r="H62" s="86">
        <f t="shared" si="20"/>
        <v>100966.41666666667</v>
      </c>
      <c r="I62" s="86">
        <f t="shared" si="20"/>
        <v>100966.41666666667</v>
      </c>
      <c r="J62" s="86">
        <f t="shared" si="20"/>
        <v>100966.41666666667</v>
      </c>
      <c r="K62" s="86">
        <f t="shared" si="20"/>
        <v>100966.41666666667</v>
      </c>
      <c r="L62" s="86">
        <f t="shared" si="20"/>
        <v>100966.41666666667</v>
      </c>
      <c r="M62" s="86">
        <f t="shared" si="20"/>
        <v>100966.41666666667</v>
      </c>
      <c r="N62" s="86">
        <f t="shared" si="20"/>
        <v>100966.41666666667</v>
      </c>
      <c r="O62" s="86">
        <f t="shared" si="20"/>
        <v>100966.41666666667</v>
      </c>
      <c r="P62" s="86">
        <f>Staffing!D29+Staffing!D90+Staffing!D84+Staffing!D60</f>
        <v>1211597</v>
      </c>
      <c r="R62" s="102">
        <f>P62-S62-T62-U62-V62-W62-X62-Y62-Z62-AB62-AC62-AA62</f>
        <v>1211597</v>
      </c>
      <c r="S62" s="102"/>
      <c r="T62" s="102"/>
      <c r="U62" s="102"/>
      <c r="V62" s="163"/>
      <c r="W62" s="163"/>
      <c r="X62" s="163"/>
      <c r="Y62" s="102"/>
      <c r="Z62" s="163"/>
      <c r="AA62" s="182"/>
      <c r="AB62" s="163"/>
      <c r="AC62" s="102"/>
      <c r="AD62" s="102">
        <f t="shared" si="18"/>
        <v>1211597</v>
      </c>
      <c r="AE62" s="89">
        <f t="shared" si="19"/>
        <v>0</v>
      </c>
    </row>
    <row r="63" spans="1:31" ht="12.75" hidden="1" outlineLevel="1">
      <c r="A63" s="4"/>
      <c r="B63" s="56" t="s">
        <v>86</v>
      </c>
      <c r="C63" s="53" t="s">
        <v>85</v>
      </c>
      <c r="D63" s="86">
        <f aca="true" t="shared" si="21" ref="D63:N63">$P$63/12</f>
        <v>10141.25</v>
      </c>
      <c r="E63" s="86">
        <f t="shared" si="21"/>
        <v>10141.25</v>
      </c>
      <c r="F63" s="86">
        <f t="shared" si="21"/>
        <v>10141.25</v>
      </c>
      <c r="G63" s="86">
        <f t="shared" si="21"/>
        <v>10141.25</v>
      </c>
      <c r="H63" s="86">
        <f t="shared" si="21"/>
        <v>10141.25</v>
      </c>
      <c r="I63" s="86">
        <f t="shared" si="21"/>
        <v>10141.25</v>
      </c>
      <c r="J63" s="86">
        <f t="shared" si="21"/>
        <v>10141.25</v>
      </c>
      <c r="K63" s="86">
        <f t="shared" si="21"/>
        <v>10141.25</v>
      </c>
      <c r="L63" s="86">
        <f t="shared" si="21"/>
        <v>10141.25</v>
      </c>
      <c r="M63" s="86">
        <f t="shared" si="21"/>
        <v>10141.25</v>
      </c>
      <c r="N63" s="86">
        <f t="shared" si="21"/>
        <v>10141.25</v>
      </c>
      <c r="O63" s="86">
        <f>$P$63/12</f>
        <v>10141.25</v>
      </c>
      <c r="P63" s="86">
        <f>Staffing!D47</f>
        <v>121695</v>
      </c>
      <c r="R63" s="102">
        <f>P63-S63-T63-U63-V63-W63-X63-Y63-Z63-AB63-AC63-AA63</f>
        <v>121695</v>
      </c>
      <c r="S63" s="102"/>
      <c r="T63" s="102"/>
      <c r="U63" s="102"/>
      <c r="V63" s="163"/>
      <c r="W63" s="163"/>
      <c r="X63" s="163"/>
      <c r="Y63" s="102"/>
      <c r="Z63" s="163"/>
      <c r="AA63" s="182"/>
      <c r="AB63" s="163"/>
      <c r="AC63" s="102"/>
      <c r="AD63" s="102">
        <f t="shared" si="18"/>
        <v>121695</v>
      </c>
      <c r="AE63" s="89">
        <f t="shared" si="19"/>
        <v>0</v>
      </c>
    </row>
    <row r="64" spans="1:31" ht="12.75" hidden="1" outlineLevel="1">
      <c r="A64" s="4"/>
      <c r="B64" s="56" t="s">
        <v>553</v>
      </c>
      <c r="C64" s="53" t="s">
        <v>554</v>
      </c>
      <c r="D64" s="86">
        <f>$P$64/12</f>
        <v>8672.833333333334</v>
      </c>
      <c r="E64" s="86">
        <f aca="true" t="shared" si="22" ref="E64:O64">$P$64/12</f>
        <v>8672.833333333334</v>
      </c>
      <c r="F64" s="86">
        <f t="shared" si="22"/>
        <v>8672.833333333334</v>
      </c>
      <c r="G64" s="86">
        <f t="shared" si="22"/>
        <v>8672.833333333334</v>
      </c>
      <c r="H64" s="86">
        <f t="shared" si="22"/>
        <v>8672.833333333334</v>
      </c>
      <c r="I64" s="86">
        <f t="shared" si="22"/>
        <v>8672.833333333334</v>
      </c>
      <c r="J64" s="86">
        <f t="shared" si="22"/>
        <v>8672.833333333334</v>
      </c>
      <c r="K64" s="86">
        <f t="shared" si="22"/>
        <v>8672.833333333334</v>
      </c>
      <c r="L64" s="86">
        <f t="shared" si="22"/>
        <v>8672.833333333334</v>
      </c>
      <c r="M64" s="86">
        <f t="shared" si="22"/>
        <v>8672.833333333334</v>
      </c>
      <c r="N64" s="86">
        <f t="shared" si="22"/>
        <v>8672.833333333334</v>
      </c>
      <c r="O64" s="86">
        <f t="shared" si="22"/>
        <v>8672.833333333334</v>
      </c>
      <c r="P64" s="86">
        <f>Staffing!D79</f>
        <v>104074</v>
      </c>
      <c r="R64" s="102">
        <f aca="true" t="shared" si="23" ref="R64:R74">P64-S64-T64-U64-V64-W64-X64-Y64-Z64-AB64-AC64</f>
        <v>104074</v>
      </c>
      <c r="S64" s="169"/>
      <c r="T64" s="163"/>
      <c r="U64" s="163"/>
      <c r="V64" s="163"/>
      <c r="W64" s="163"/>
      <c r="X64" s="163"/>
      <c r="Y64" s="163"/>
      <c r="Z64" s="163"/>
      <c r="AA64" s="163"/>
      <c r="AB64" s="169"/>
      <c r="AC64" s="169"/>
      <c r="AD64" s="102">
        <f t="shared" si="18"/>
        <v>104074</v>
      </c>
      <c r="AE64" s="89">
        <f t="shared" si="19"/>
        <v>0</v>
      </c>
    </row>
    <row r="65" spans="1:31" ht="12.75" hidden="1" outlineLevel="1">
      <c r="A65" s="4"/>
      <c r="B65" s="70">
        <v>2410111</v>
      </c>
      <c r="C65" s="53" t="s">
        <v>555</v>
      </c>
      <c r="D65" s="86">
        <f>$P$65/12</f>
        <v>11041.666666666666</v>
      </c>
      <c r="E65" s="86">
        <f aca="true" t="shared" si="24" ref="E65:O65">$P$65/12</f>
        <v>11041.666666666666</v>
      </c>
      <c r="F65" s="86">
        <f t="shared" si="24"/>
        <v>11041.666666666666</v>
      </c>
      <c r="G65" s="86">
        <f t="shared" si="24"/>
        <v>11041.666666666666</v>
      </c>
      <c r="H65" s="86">
        <f t="shared" si="24"/>
        <v>11041.666666666666</v>
      </c>
      <c r="I65" s="86">
        <f t="shared" si="24"/>
        <v>11041.666666666666</v>
      </c>
      <c r="J65" s="86">
        <f t="shared" si="24"/>
        <v>11041.666666666666</v>
      </c>
      <c r="K65" s="86">
        <f t="shared" si="24"/>
        <v>11041.666666666666</v>
      </c>
      <c r="L65" s="86">
        <f t="shared" si="24"/>
        <v>11041.666666666666</v>
      </c>
      <c r="M65" s="86">
        <f t="shared" si="24"/>
        <v>11041.666666666666</v>
      </c>
      <c r="N65" s="86">
        <f t="shared" si="24"/>
        <v>11041.666666666666</v>
      </c>
      <c r="O65" s="86">
        <f t="shared" si="24"/>
        <v>11041.666666666666</v>
      </c>
      <c r="P65" s="86">
        <f>Staffing!D94+Staffing!E94</f>
        <v>132500</v>
      </c>
      <c r="R65" s="102">
        <f t="shared" si="23"/>
        <v>132500</v>
      </c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02">
        <f t="shared" si="18"/>
        <v>132500</v>
      </c>
      <c r="AE65" s="89">
        <f t="shared" si="19"/>
        <v>0</v>
      </c>
    </row>
    <row r="66" spans="1:31" ht="12.75" hidden="1" outlineLevel="1">
      <c r="A66" s="4"/>
      <c r="B66" s="70">
        <v>2420111</v>
      </c>
      <c r="C66" s="53" t="s">
        <v>556</v>
      </c>
      <c r="D66" s="86">
        <f>$P$66/12</f>
        <v>10416.666666666666</v>
      </c>
      <c r="E66" s="86">
        <f aca="true" t="shared" si="25" ref="E66:O66">$P$66/12</f>
        <v>10416.666666666666</v>
      </c>
      <c r="F66" s="86">
        <f t="shared" si="25"/>
        <v>10416.666666666666</v>
      </c>
      <c r="G66" s="86">
        <f t="shared" si="25"/>
        <v>10416.666666666666</v>
      </c>
      <c r="H66" s="86">
        <f t="shared" si="25"/>
        <v>10416.666666666666</v>
      </c>
      <c r="I66" s="86">
        <f t="shared" si="25"/>
        <v>10416.666666666666</v>
      </c>
      <c r="J66" s="86">
        <f t="shared" si="25"/>
        <v>10416.666666666666</v>
      </c>
      <c r="K66" s="86">
        <f t="shared" si="25"/>
        <v>10416.666666666666</v>
      </c>
      <c r="L66" s="86">
        <f t="shared" si="25"/>
        <v>10416.666666666666</v>
      </c>
      <c r="M66" s="86">
        <f t="shared" si="25"/>
        <v>10416.666666666666</v>
      </c>
      <c r="N66" s="86">
        <f t="shared" si="25"/>
        <v>10416.666666666666</v>
      </c>
      <c r="O66" s="86">
        <f t="shared" si="25"/>
        <v>10416.666666666666</v>
      </c>
      <c r="P66" s="86">
        <f>Staffing!D115</f>
        <v>125000</v>
      </c>
      <c r="R66" s="102">
        <f t="shared" si="23"/>
        <v>125000</v>
      </c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02">
        <f t="shared" si="18"/>
        <v>125000</v>
      </c>
      <c r="AE66" s="89">
        <f t="shared" si="19"/>
        <v>0</v>
      </c>
    </row>
    <row r="67" spans="1:31" ht="12.75" hidden="1" outlineLevel="1">
      <c r="A67" s="4"/>
      <c r="B67" s="70">
        <v>2490114</v>
      </c>
      <c r="C67" s="53" t="s">
        <v>557</v>
      </c>
      <c r="D67" s="86">
        <f>$P$67/12</f>
        <v>6576</v>
      </c>
      <c r="E67" s="86">
        <f aca="true" t="shared" si="26" ref="E67:O67">$P$67/12</f>
        <v>6576</v>
      </c>
      <c r="F67" s="86">
        <f t="shared" si="26"/>
        <v>6576</v>
      </c>
      <c r="G67" s="86">
        <f t="shared" si="26"/>
        <v>6576</v>
      </c>
      <c r="H67" s="86">
        <f t="shared" si="26"/>
        <v>6576</v>
      </c>
      <c r="I67" s="86">
        <f t="shared" si="26"/>
        <v>6576</v>
      </c>
      <c r="J67" s="86">
        <f t="shared" si="26"/>
        <v>6576</v>
      </c>
      <c r="K67" s="86">
        <f t="shared" si="26"/>
        <v>6576</v>
      </c>
      <c r="L67" s="86">
        <f t="shared" si="26"/>
        <v>6576</v>
      </c>
      <c r="M67" s="86">
        <f t="shared" si="26"/>
        <v>6576</v>
      </c>
      <c r="N67" s="86">
        <f t="shared" si="26"/>
        <v>6576</v>
      </c>
      <c r="O67" s="86">
        <f t="shared" si="26"/>
        <v>6576</v>
      </c>
      <c r="P67" s="86">
        <f>Staffing!D93+Staffing!D96+Staffing!E93</f>
        <v>78912</v>
      </c>
      <c r="R67" s="102">
        <f t="shared" si="23"/>
        <v>78912</v>
      </c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02">
        <f t="shared" si="18"/>
        <v>78912</v>
      </c>
      <c r="AE67" s="89">
        <f t="shared" si="19"/>
        <v>0</v>
      </c>
    </row>
    <row r="68" spans="1:31" ht="12.75" hidden="1" outlineLevel="1">
      <c r="A68" s="4"/>
      <c r="B68" s="70">
        <v>3120116</v>
      </c>
      <c r="C68" s="53" t="s">
        <v>281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R68" s="102">
        <f t="shared" si="23"/>
        <v>0</v>
      </c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02">
        <f t="shared" si="18"/>
        <v>0</v>
      </c>
      <c r="AE68" s="89">
        <f t="shared" si="19"/>
        <v>0</v>
      </c>
    </row>
    <row r="69" spans="1:31" ht="12.75" hidden="1" outlineLevel="1">
      <c r="A69" s="4"/>
      <c r="B69" s="70"/>
      <c r="C69" s="53" t="s">
        <v>558</v>
      </c>
      <c r="D69" s="86">
        <f>$P$69/12</f>
        <v>0</v>
      </c>
      <c r="E69" s="86">
        <f aca="true" t="shared" si="27" ref="E69:O69">$P$69/12</f>
        <v>0</v>
      </c>
      <c r="F69" s="86">
        <f t="shared" si="27"/>
        <v>0</v>
      </c>
      <c r="G69" s="86">
        <f t="shared" si="27"/>
        <v>0</v>
      </c>
      <c r="H69" s="86">
        <f t="shared" si="27"/>
        <v>0</v>
      </c>
      <c r="I69" s="86">
        <f t="shared" si="27"/>
        <v>0</v>
      </c>
      <c r="J69" s="86">
        <f t="shared" si="27"/>
        <v>0</v>
      </c>
      <c r="K69" s="86">
        <f t="shared" si="27"/>
        <v>0</v>
      </c>
      <c r="L69" s="86">
        <f t="shared" si="27"/>
        <v>0</v>
      </c>
      <c r="M69" s="86">
        <f t="shared" si="27"/>
        <v>0</v>
      </c>
      <c r="N69" s="86">
        <f t="shared" si="27"/>
        <v>0</v>
      </c>
      <c r="O69" s="86">
        <f t="shared" si="27"/>
        <v>0</v>
      </c>
      <c r="P69" s="86">
        <v>0</v>
      </c>
      <c r="R69" s="102">
        <f t="shared" si="23"/>
        <v>0</v>
      </c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02">
        <f t="shared" si="18"/>
        <v>0</v>
      </c>
      <c r="AE69" s="89">
        <f t="shared" si="19"/>
        <v>0</v>
      </c>
    </row>
    <row r="70" spans="1:31" ht="12.75" hidden="1" outlineLevel="1">
      <c r="A70" s="4"/>
      <c r="B70" s="70">
        <v>2113113</v>
      </c>
      <c r="C70" s="53" t="s">
        <v>559</v>
      </c>
      <c r="D70" s="86">
        <f aca="true" t="shared" si="28" ref="D70:N70">$P$70/12</f>
        <v>0</v>
      </c>
      <c r="E70" s="86">
        <f t="shared" si="28"/>
        <v>0</v>
      </c>
      <c r="F70" s="86">
        <f t="shared" si="28"/>
        <v>0</v>
      </c>
      <c r="G70" s="86">
        <f t="shared" si="28"/>
        <v>0</v>
      </c>
      <c r="H70" s="86">
        <f t="shared" si="28"/>
        <v>0</v>
      </c>
      <c r="I70" s="86">
        <f t="shared" si="28"/>
        <v>0</v>
      </c>
      <c r="J70" s="86">
        <f t="shared" si="28"/>
        <v>0</v>
      </c>
      <c r="K70" s="86">
        <f t="shared" si="28"/>
        <v>0</v>
      </c>
      <c r="L70" s="86">
        <f t="shared" si="28"/>
        <v>0</v>
      </c>
      <c r="M70" s="86">
        <f t="shared" si="28"/>
        <v>0</v>
      </c>
      <c r="N70" s="86">
        <f t="shared" si="28"/>
        <v>0</v>
      </c>
      <c r="O70" s="86">
        <f>$P$70/12</f>
        <v>0</v>
      </c>
      <c r="P70" s="86">
        <f>Staffing!D104</f>
        <v>0</v>
      </c>
      <c r="R70" s="102">
        <f t="shared" si="23"/>
        <v>0</v>
      </c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02">
        <f t="shared" si="18"/>
        <v>0</v>
      </c>
      <c r="AE70" s="89">
        <f t="shared" si="19"/>
        <v>0</v>
      </c>
    </row>
    <row r="71" spans="1:31" ht="12.75" hidden="1" outlineLevel="1">
      <c r="A71" s="4"/>
      <c r="B71" s="70">
        <v>2134118</v>
      </c>
      <c r="C71" s="53" t="s">
        <v>560</v>
      </c>
      <c r="D71" s="86">
        <f>$P$71/12</f>
        <v>4748.333333333333</v>
      </c>
      <c r="E71" s="86">
        <f aca="true" t="shared" si="29" ref="E71:O71">$P$71/12</f>
        <v>4748.333333333333</v>
      </c>
      <c r="F71" s="86">
        <f t="shared" si="29"/>
        <v>4748.333333333333</v>
      </c>
      <c r="G71" s="86">
        <f t="shared" si="29"/>
        <v>4748.333333333333</v>
      </c>
      <c r="H71" s="86">
        <f t="shared" si="29"/>
        <v>4748.333333333333</v>
      </c>
      <c r="I71" s="86">
        <f t="shared" si="29"/>
        <v>4748.333333333333</v>
      </c>
      <c r="J71" s="86">
        <f t="shared" si="29"/>
        <v>4748.333333333333</v>
      </c>
      <c r="K71" s="86">
        <f t="shared" si="29"/>
        <v>4748.333333333333</v>
      </c>
      <c r="L71" s="86">
        <f t="shared" si="29"/>
        <v>4748.333333333333</v>
      </c>
      <c r="M71" s="86">
        <f t="shared" si="29"/>
        <v>4748.333333333333</v>
      </c>
      <c r="N71" s="86">
        <f t="shared" si="29"/>
        <v>4748.333333333333</v>
      </c>
      <c r="O71" s="86">
        <f t="shared" si="29"/>
        <v>4748.333333333333</v>
      </c>
      <c r="P71" s="86">
        <f>Staffing!D110</f>
        <v>56980</v>
      </c>
      <c r="R71" s="102">
        <f t="shared" si="23"/>
        <v>56980</v>
      </c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02">
        <f t="shared" si="18"/>
        <v>56980</v>
      </c>
      <c r="AE71" s="89">
        <f t="shared" si="19"/>
        <v>0</v>
      </c>
    </row>
    <row r="72" spans="1:31" ht="12.75" hidden="1" outlineLevel="1">
      <c r="A72" s="4"/>
      <c r="B72" s="70">
        <v>2211111</v>
      </c>
      <c r="C72" s="53" t="s">
        <v>561</v>
      </c>
      <c r="D72" s="86">
        <f>$P$72/12</f>
        <v>0</v>
      </c>
      <c r="E72" s="86">
        <f aca="true" t="shared" si="30" ref="E72:O72">$P$72/12</f>
        <v>0</v>
      </c>
      <c r="F72" s="86">
        <f t="shared" si="30"/>
        <v>0</v>
      </c>
      <c r="G72" s="86">
        <f t="shared" si="30"/>
        <v>0</v>
      </c>
      <c r="H72" s="86">
        <f t="shared" si="30"/>
        <v>0</v>
      </c>
      <c r="I72" s="86">
        <f t="shared" si="30"/>
        <v>0</v>
      </c>
      <c r="J72" s="86">
        <f t="shared" si="30"/>
        <v>0</v>
      </c>
      <c r="K72" s="86">
        <f t="shared" si="30"/>
        <v>0</v>
      </c>
      <c r="L72" s="86">
        <f t="shared" si="30"/>
        <v>0</v>
      </c>
      <c r="M72" s="86">
        <f t="shared" si="30"/>
        <v>0</v>
      </c>
      <c r="N72" s="86">
        <f t="shared" si="30"/>
        <v>0</v>
      </c>
      <c r="O72" s="86">
        <f t="shared" si="30"/>
        <v>0</v>
      </c>
      <c r="P72" s="86"/>
      <c r="R72" s="102">
        <f t="shared" si="23"/>
        <v>0</v>
      </c>
      <c r="S72" s="102"/>
      <c r="T72" s="102"/>
      <c r="U72" s="102"/>
      <c r="V72" s="102"/>
      <c r="W72" s="163"/>
      <c r="X72" s="163"/>
      <c r="Y72" s="163"/>
      <c r="Z72" s="163"/>
      <c r="AA72" s="163"/>
      <c r="AB72" s="163"/>
      <c r="AC72" s="163"/>
      <c r="AD72" s="102">
        <f t="shared" si="18"/>
        <v>0</v>
      </c>
      <c r="AE72" s="89">
        <f t="shared" si="19"/>
        <v>0</v>
      </c>
    </row>
    <row r="73" spans="1:31" ht="12.75" hidden="1" outlineLevel="1">
      <c r="A73" s="4"/>
      <c r="B73" s="70">
        <v>2610116</v>
      </c>
      <c r="C73" s="53" t="s">
        <v>425</v>
      </c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R73" s="102">
        <f t="shared" si="23"/>
        <v>0</v>
      </c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02">
        <f t="shared" si="18"/>
        <v>0</v>
      </c>
      <c r="AE73" s="89">
        <f t="shared" si="19"/>
        <v>0</v>
      </c>
    </row>
    <row r="74" spans="1:31" ht="12.75" hidden="1" outlineLevel="1">
      <c r="A74" s="4"/>
      <c r="B74" s="70">
        <v>2500111</v>
      </c>
      <c r="C74" s="53" t="s">
        <v>426</v>
      </c>
      <c r="D74" s="86">
        <f>$P$74/12</f>
        <v>7456.666666666667</v>
      </c>
      <c r="E74" s="86">
        <f aca="true" t="shared" si="31" ref="E74:O74">$P$74/12</f>
        <v>7456.666666666667</v>
      </c>
      <c r="F74" s="86">
        <f t="shared" si="31"/>
        <v>7456.666666666667</v>
      </c>
      <c r="G74" s="86">
        <f t="shared" si="31"/>
        <v>7456.666666666667</v>
      </c>
      <c r="H74" s="86">
        <f t="shared" si="31"/>
        <v>7456.666666666667</v>
      </c>
      <c r="I74" s="86">
        <f t="shared" si="31"/>
        <v>7456.666666666667</v>
      </c>
      <c r="J74" s="86">
        <f t="shared" si="31"/>
        <v>7456.666666666667</v>
      </c>
      <c r="K74" s="86">
        <f t="shared" si="31"/>
        <v>7456.666666666667</v>
      </c>
      <c r="L74" s="86">
        <f t="shared" si="31"/>
        <v>7456.666666666667</v>
      </c>
      <c r="M74" s="86">
        <f t="shared" si="31"/>
        <v>7456.666666666667</v>
      </c>
      <c r="N74" s="86">
        <f t="shared" si="31"/>
        <v>7456.666666666667</v>
      </c>
      <c r="O74" s="86">
        <f t="shared" si="31"/>
        <v>7456.666666666667</v>
      </c>
      <c r="P74" s="86">
        <f>Staffing!D101+Staffing!E101</f>
        <v>89480</v>
      </c>
      <c r="R74" s="102">
        <f t="shared" si="23"/>
        <v>89480</v>
      </c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02">
        <f t="shared" si="18"/>
        <v>89480</v>
      </c>
      <c r="AE74" s="89">
        <f t="shared" si="19"/>
        <v>0</v>
      </c>
    </row>
    <row r="75" spans="1:31" ht="12.75" hidden="1" outlineLevel="1">
      <c r="A75" s="4"/>
      <c r="B75" s="56"/>
      <c r="C75" s="53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AE75" s="89"/>
    </row>
    <row r="76" spans="1:31" ht="12.75" collapsed="1">
      <c r="A76" s="63"/>
      <c r="B76" s="63"/>
      <c r="C76" s="64" t="s">
        <v>427</v>
      </c>
      <c r="D76" s="93">
        <f>SUM(D60:D75)</f>
        <v>167680.3333333333</v>
      </c>
      <c r="E76" s="93">
        <f aca="true" t="shared" si="32" ref="E76:AD76">SUM(E60:E75)</f>
        <v>167680.3333333333</v>
      </c>
      <c r="F76" s="93">
        <f t="shared" si="32"/>
        <v>167680.3333333333</v>
      </c>
      <c r="G76" s="93">
        <f t="shared" si="32"/>
        <v>167680.3333333333</v>
      </c>
      <c r="H76" s="93">
        <f t="shared" si="32"/>
        <v>167680.3333333333</v>
      </c>
      <c r="I76" s="93">
        <f t="shared" si="32"/>
        <v>167680.3333333333</v>
      </c>
      <c r="J76" s="93">
        <f t="shared" si="32"/>
        <v>167680.3333333333</v>
      </c>
      <c r="K76" s="93">
        <f t="shared" si="32"/>
        <v>167680.3333333333</v>
      </c>
      <c r="L76" s="93">
        <f t="shared" si="32"/>
        <v>167680.3333333333</v>
      </c>
      <c r="M76" s="93">
        <f t="shared" si="32"/>
        <v>167680.3333333333</v>
      </c>
      <c r="N76" s="93">
        <f t="shared" si="32"/>
        <v>167680.3333333333</v>
      </c>
      <c r="O76" s="93">
        <f t="shared" si="32"/>
        <v>167680.3333333333</v>
      </c>
      <c r="P76" s="170">
        <f t="shared" si="32"/>
        <v>2012164</v>
      </c>
      <c r="Q76" s="93"/>
      <c r="R76" s="93">
        <f t="shared" si="32"/>
        <v>2012164</v>
      </c>
      <c r="S76" s="93">
        <f t="shared" si="32"/>
        <v>0</v>
      </c>
      <c r="T76" s="93">
        <f t="shared" si="32"/>
        <v>0</v>
      </c>
      <c r="U76" s="93">
        <f t="shared" si="32"/>
        <v>0</v>
      </c>
      <c r="V76" s="93">
        <f t="shared" si="32"/>
        <v>0</v>
      </c>
      <c r="W76" s="93">
        <f t="shared" si="32"/>
        <v>0</v>
      </c>
      <c r="X76" s="93">
        <f t="shared" si="32"/>
        <v>0</v>
      </c>
      <c r="Y76" s="93">
        <f t="shared" si="32"/>
        <v>0</v>
      </c>
      <c r="Z76" s="93">
        <f t="shared" si="32"/>
        <v>0</v>
      </c>
      <c r="AA76" s="93">
        <f t="shared" si="32"/>
        <v>0</v>
      </c>
      <c r="AB76" s="93">
        <f t="shared" si="32"/>
        <v>0</v>
      </c>
      <c r="AC76" s="93">
        <f t="shared" si="32"/>
        <v>0</v>
      </c>
      <c r="AD76" s="93">
        <f t="shared" si="32"/>
        <v>2012164</v>
      </c>
      <c r="AE76" s="89">
        <f t="shared" si="19"/>
        <v>0</v>
      </c>
    </row>
    <row r="77" spans="1:16" ht="9.75" customHeight="1">
      <c r="A77" s="65"/>
      <c r="B77" s="65"/>
      <c r="C77" s="65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235"/>
    </row>
    <row r="78" spans="1:16" ht="12.75" hidden="1" outlineLevel="1">
      <c r="A78" s="66"/>
      <c r="B78" s="67" t="s">
        <v>428</v>
      </c>
      <c r="C78" s="6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235"/>
    </row>
    <row r="79" spans="1:31" ht="12.75" hidden="1" outlineLevel="1">
      <c r="A79" s="66"/>
      <c r="B79" s="94">
        <v>1105210</v>
      </c>
      <c r="C79" s="67" t="s">
        <v>350</v>
      </c>
      <c r="D79" s="86">
        <f>$P$79/12</f>
        <v>748.0175</v>
      </c>
      <c r="E79" s="86">
        <f aca="true" t="shared" si="33" ref="E79:O79">$P$79/12</f>
        <v>748.0175</v>
      </c>
      <c r="F79" s="86">
        <f t="shared" si="33"/>
        <v>748.0175</v>
      </c>
      <c r="G79" s="86">
        <f t="shared" si="33"/>
        <v>748.0175</v>
      </c>
      <c r="H79" s="86">
        <f t="shared" si="33"/>
        <v>748.0175</v>
      </c>
      <c r="I79" s="86">
        <f t="shared" si="33"/>
        <v>748.0175</v>
      </c>
      <c r="J79" s="86">
        <f t="shared" si="33"/>
        <v>748.0175</v>
      </c>
      <c r="K79" s="86">
        <f t="shared" si="33"/>
        <v>748.0175</v>
      </c>
      <c r="L79" s="86">
        <f t="shared" si="33"/>
        <v>748.0175</v>
      </c>
      <c r="M79" s="86">
        <f t="shared" si="33"/>
        <v>748.0175</v>
      </c>
      <c r="N79" s="86">
        <f t="shared" si="33"/>
        <v>748.0175</v>
      </c>
      <c r="O79" s="86">
        <f t="shared" si="33"/>
        <v>748.0175</v>
      </c>
      <c r="P79" s="86">
        <f>Staffing!J6</f>
        <v>8976.210000000001</v>
      </c>
      <c r="R79" s="102">
        <f aca="true" t="shared" si="34" ref="R79:R92">P79-S79-T79-U79-V79-W79-X79-Y79-Z79-AB79-AC79</f>
        <v>8976.210000000001</v>
      </c>
      <c r="AD79" s="85">
        <f aca="true" t="shared" si="35" ref="AD79:AD92">SUM(R79:AC79)</f>
        <v>8976.210000000001</v>
      </c>
      <c r="AE79" s="89">
        <f aca="true" t="shared" si="36" ref="AE79:AE94">P79-AD79</f>
        <v>0</v>
      </c>
    </row>
    <row r="80" spans="1:31" ht="12.75" hidden="1" outlineLevel="1">
      <c r="A80" s="65"/>
      <c r="B80" s="67" t="s">
        <v>429</v>
      </c>
      <c r="C80" s="67" t="s">
        <v>430</v>
      </c>
      <c r="D80" s="86">
        <f>$P$80/12</f>
        <v>9699.4325</v>
      </c>
      <c r="E80" s="86">
        <f aca="true" t="shared" si="37" ref="E80:O80">$P$80/12</f>
        <v>9699.4325</v>
      </c>
      <c r="F80" s="86">
        <f t="shared" si="37"/>
        <v>9699.4325</v>
      </c>
      <c r="G80" s="86">
        <f t="shared" si="37"/>
        <v>9699.4325</v>
      </c>
      <c r="H80" s="86">
        <f t="shared" si="37"/>
        <v>9699.4325</v>
      </c>
      <c r="I80" s="86">
        <f t="shared" si="37"/>
        <v>9699.4325</v>
      </c>
      <c r="J80" s="86">
        <f t="shared" si="37"/>
        <v>9699.4325</v>
      </c>
      <c r="K80" s="86">
        <f t="shared" si="37"/>
        <v>9699.4325</v>
      </c>
      <c r="L80" s="86">
        <f t="shared" si="37"/>
        <v>9699.4325</v>
      </c>
      <c r="M80" s="86">
        <f t="shared" si="37"/>
        <v>9699.4325</v>
      </c>
      <c r="N80" s="86">
        <f t="shared" si="37"/>
        <v>9699.4325</v>
      </c>
      <c r="O80" s="86">
        <f t="shared" si="37"/>
        <v>9699.4325</v>
      </c>
      <c r="P80" s="86">
        <f>Staffing!J29+Staffing!J60+Staffing!J84+Staffing!J90</f>
        <v>116393.19</v>
      </c>
      <c r="R80" s="102">
        <f t="shared" si="34"/>
        <v>116393.19</v>
      </c>
      <c r="S80" s="85"/>
      <c r="T80" s="85"/>
      <c r="U80" s="85"/>
      <c r="Y80" s="85"/>
      <c r="AA80" s="85"/>
      <c r="AC80" s="85"/>
      <c r="AD80" s="85">
        <f t="shared" si="35"/>
        <v>116393.19</v>
      </c>
      <c r="AE80" s="89">
        <f t="shared" si="36"/>
        <v>0</v>
      </c>
    </row>
    <row r="81" spans="1:31" ht="12.75" hidden="1" outlineLevel="1">
      <c r="A81" s="65"/>
      <c r="B81" s="67" t="s">
        <v>431</v>
      </c>
      <c r="C81" s="67" t="s">
        <v>432</v>
      </c>
      <c r="D81" s="86">
        <f>$P$81/12</f>
        <v>851.335</v>
      </c>
      <c r="E81" s="86">
        <f>$P$81/12</f>
        <v>851.335</v>
      </c>
      <c r="F81" s="86">
        <f aca="true" t="shared" si="38" ref="F81:O81">$P$81/12</f>
        <v>851.335</v>
      </c>
      <c r="G81" s="86">
        <f t="shared" si="38"/>
        <v>851.335</v>
      </c>
      <c r="H81" s="86">
        <f t="shared" si="38"/>
        <v>851.335</v>
      </c>
      <c r="I81" s="86">
        <f t="shared" si="38"/>
        <v>851.335</v>
      </c>
      <c r="J81" s="86">
        <f t="shared" si="38"/>
        <v>851.335</v>
      </c>
      <c r="K81" s="86">
        <f t="shared" si="38"/>
        <v>851.335</v>
      </c>
      <c r="L81" s="86">
        <f t="shared" si="38"/>
        <v>851.335</v>
      </c>
      <c r="M81" s="86">
        <f t="shared" si="38"/>
        <v>851.335</v>
      </c>
      <c r="N81" s="86">
        <f t="shared" si="38"/>
        <v>851.335</v>
      </c>
      <c r="O81" s="86">
        <f t="shared" si="38"/>
        <v>851.335</v>
      </c>
      <c r="P81" s="86">
        <f>Staffing!J79</f>
        <v>10216.02</v>
      </c>
      <c r="R81" s="102">
        <f t="shared" si="34"/>
        <v>10216.02</v>
      </c>
      <c r="S81" s="100"/>
      <c r="AB81" s="100"/>
      <c r="AC81" s="100"/>
      <c r="AD81" s="85">
        <f t="shared" si="35"/>
        <v>10216.02</v>
      </c>
      <c r="AE81" s="89">
        <f t="shared" si="36"/>
        <v>0</v>
      </c>
    </row>
    <row r="82" spans="1:31" ht="12.75" hidden="1" outlineLevel="1">
      <c r="A82" s="65"/>
      <c r="B82" s="67" t="s">
        <v>433</v>
      </c>
      <c r="C82" s="67" t="s">
        <v>434</v>
      </c>
      <c r="D82" s="86">
        <f>$P$82/12</f>
        <v>1277.0025</v>
      </c>
      <c r="E82" s="86">
        <f aca="true" t="shared" si="39" ref="E82:O82">$P$82/12</f>
        <v>1277.0025</v>
      </c>
      <c r="F82" s="86">
        <f t="shared" si="39"/>
        <v>1277.0025</v>
      </c>
      <c r="G82" s="86">
        <f t="shared" si="39"/>
        <v>1277.0025</v>
      </c>
      <c r="H82" s="86">
        <f t="shared" si="39"/>
        <v>1277.0025</v>
      </c>
      <c r="I82" s="86">
        <f t="shared" si="39"/>
        <v>1277.0025</v>
      </c>
      <c r="J82" s="86">
        <f t="shared" si="39"/>
        <v>1277.0025</v>
      </c>
      <c r="K82" s="86">
        <f t="shared" si="39"/>
        <v>1277.0025</v>
      </c>
      <c r="L82" s="86">
        <f t="shared" si="39"/>
        <v>1277.0025</v>
      </c>
      <c r="M82" s="86">
        <f t="shared" si="39"/>
        <v>1277.0025</v>
      </c>
      <c r="N82" s="86">
        <f t="shared" si="39"/>
        <v>1277.0025</v>
      </c>
      <c r="O82" s="86">
        <f t="shared" si="39"/>
        <v>1277.0025</v>
      </c>
      <c r="P82" s="86">
        <f>Staffing!J97</f>
        <v>15324.03</v>
      </c>
      <c r="R82" s="102">
        <f t="shared" si="34"/>
        <v>15324.03</v>
      </c>
      <c r="AD82" s="85">
        <f t="shared" si="35"/>
        <v>15324.03</v>
      </c>
      <c r="AE82" s="89">
        <f t="shared" si="36"/>
        <v>0</v>
      </c>
    </row>
    <row r="83" spans="1:31" ht="12.75" hidden="1" outlineLevel="1">
      <c r="A83" s="65"/>
      <c r="B83" s="67" t="s">
        <v>435</v>
      </c>
      <c r="C83" s="67" t="s">
        <v>436</v>
      </c>
      <c r="D83" s="86">
        <f>$P$83/12</f>
        <v>851.335</v>
      </c>
      <c r="E83" s="86">
        <f aca="true" t="shared" si="40" ref="E83:O83">$P$83/12</f>
        <v>851.335</v>
      </c>
      <c r="F83" s="86">
        <f t="shared" si="40"/>
        <v>851.335</v>
      </c>
      <c r="G83" s="86">
        <f t="shared" si="40"/>
        <v>851.335</v>
      </c>
      <c r="H83" s="86">
        <f t="shared" si="40"/>
        <v>851.335</v>
      </c>
      <c r="I83" s="86">
        <f t="shared" si="40"/>
        <v>851.335</v>
      </c>
      <c r="J83" s="86">
        <f t="shared" si="40"/>
        <v>851.335</v>
      </c>
      <c r="K83" s="86">
        <f t="shared" si="40"/>
        <v>851.335</v>
      </c>
      <c r="L83" s="86">
        <f t="shared" si="40"/>
        <v>851.335</v>
      </c>
      <c r="M83" s="86">
        <f t="shared" si="40"/>
        <v>851.335</v>
      </c>
      <c r="N83" s="86">
        <f t="shared" si="40"/>
        <v>851.335</v>
      </c>
      <c r="O83" s="86">
        <f t="shared" si="40"/>
        <v>851.335</v>
      </c>
      <c r="P83" s="86">
        <f>Staffing!J115</f>
        <v>10216.02</v>
      </c>
      <c r="R83" s="102">
        <f t="shared" si="34"/>
        <v>10216.02</v>
      </c>
      <c r="AD83" s="85">
        <f t="shared" si="35"/>
        <v>10216.02</v>
      </c>
      <c r="AE83" s="89">
        <f t="shared" si="36"/>
        <v>0</v>
      </c>
    </row>
    <row r="84" spans="1:31" ht="12.75" hidden="1" outlineLevel="1">
      <c r="A84" s="65"/>
      <c r="B84" s="72">
        <v>3120210</v>
      </c>
      <c r="C84" s="67" t="s">
        <v>251</v>
      </c>
      <c r="D84" s="86">
        <f aca="true" t="shared" si="41" ref="D84:N84">$P$84/12</f>
        <v>0</v>
      </c>
      <c r="E84" s="86">
        <f t="shared" si="41"/>
        <v>0</v>
      </c>
      <c r="F84" s="86">
        <f t="shared" si="41"/>
        <v>0</v>
      </c>
      <c r="G84" s="86">
        <f t="shared" si="41"/>
        <v>0</v>
      </c>
      <c r="H84" s="86">
        <f t="shared" si="41"/>
        <v>0</v>
      </c>
      <c r="I84" s="86">
        <f t="shared" si="41"/>
        <v>0</v>
      </c>
      <c r="J84" s="86">
        <f t="shared" si="41"/>
        <v>0</v>
      </c>
      <c r="K84" s="86">
        <f t="shared" si="41"/>
        <v>0</v>
      </c>
      <c r="L84" s="86">
        <f t="shared" si="41"/>
        <v>0</v>
      </c>
      <c r="M84" s="86">
        <f t="shared" si="41"/>
        <v>0</v>
      </c>
      <c r="N84" s="86">
        <f t="shared" si="41"/>
        <v>0</v>
      </c>
      <c r="O84" s="86">
        <f>$P$84/12</f>
        <v>0</v>
      </c>
      <c r="P84" s="86"/>
      <c r="R84" s="102">
        <f t="shared" si="34"/>
        <v>0</v>
      </c>
      <c r="AD84" s="85">
        <f t="shared" si="35"/>
        <v>0</v>
      </c>
      <c r="AE84" s="89">
        <f t="shared" si="36"/>
        <v>0</v>
      </c>
    </row>
    <row r="85" spans="1:31" ht="12.75" hidden="1" outlineLevel="1">
      <c r="A85" s="65"/>
      <c r="B85" s="67"/>
      <c r="C85" s="67" t="s">
        <v>437</v>
      </c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R85" s="102">
        <f t="shared" si="34"/>
        <v>0</v>
      </c>
      <c r="AD85" s="85">
        <f t="shared" si="35"/>
        <v>0</v>
      </c>
      <c r="AE85" s="89">
        <f t="shared" si="36"/>
        <v>0</v>
      </c>
    </row>
    <row r="86" spans="1:31" ht="12.75" hidden="1" outlineLevel="1">
      <c r="A86" s="65"/>
      <c r="B86" s="67"/>
      <c r="C86" s="67" t="s">
        <v>438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>
        <f>Staffing!J104</f>
        <v>0</v>
      </c>
      <c r="R86" s="102">
        <f t="shared" si="34"/>
        <v>0</v>
      </c>
      <c r="AD86" s="85">
        <f t="shared" si="35"/>
        <v>0</v>
      </c>
      <c r="AE86" s="89">
        <f t="shared" si="36"/>
        <v>0</v>
      </c>
    </row>
    <row r="87" spans="1:31" ht="12.75" hidden="1" outlineLevel="1">
      <c r="A87" s="65"/>
      <c r="B87" s="67"/>
      <c r="C87" s="67" t="s">
        <v>439</v>
      </c>
      <c r="D87" s="86">
        <f>$P$87/12</f>
        <v>425.6675</v>
      </c>
      <c r="E87" s="86">
        <f aca="true" t="shared" si="42" ref="E87:O87">$P$87/12</f>
        <v>425.6675</v>
      </c>
      <c r="F87" s="86">
        <f t="shared" si="42"/>
        <v>425.6675</v>
      </c>
      <c r="G87" s="86">
        <f t="shared" si="42"/>
        <v>425.6675</v>
      </c>
      <c r="H87" s="86">
        <f t="shared" si="42"/>
        <v>425.6675</v>
      </c>
      <c r="I87" s="86">
        <f t="shared" si="42"/>
        <v>425.6675</v>
      </c>
      <c r="J87" s="86">
        <f t="shared" si="42"/>
        <v>425.6675</v>
      </c>
      <c r="K87" s="86">
        <f t="shared" si="42"/>
        <v>425.6675</v>
      </c>
      <c r="L87" s="86">
        <f t="shared" si="42"/>
        <v>425.6675</v>
      </c>
      <c r="M87" s="86">
        <f t="shared" si="42"/>
        <v>425.6675</v>
      </c>
      <c r="N87" s="86">
        <f t="shared" si="42"/>
        <v>425.6675</v>
      </c>
      <c r="O87" s="86">
        <f t="shared" si="42"/>
        <v>425.6675</v>
      </c>
      <c r="P87" s="86">
        <f>Staffing!J110</f>
        <v>5108.01</v>
      </c>
      <c r="R87" s="102">
        <f t="shared" si="34"/>
        <v>5108.01</v>
      </c>
      <c r="AD87" s="85">
        <f t="shared" si="35"/>
        <v>5108.01</v>
      </c>
      <c r="AE87" s="89">
        <f t="shared" si="36"/>
        <v>0</v>
      </c>
    </row>
    <row r="88" spans="1:31" ht="12.75" hidden="1" outlineLevel="1">
      <c r="A88" s="65"/>
      <c r="B88" s="67"/>
      <c r="C88" s="67" t="s">
        <v>440</v>
      </c>
      <c r="D88" s="86">
        <f>$P$88/12</f>
        <v>0</v>
      </c>
      <c r="E88" s="86">
        <f aca="true" t="shared" si="43" ref="E88:O88">$P$88/12</f>
        <v>0</v>
      </c>
      <c r="F88" s="86">
        <f t="shared" si="43"/>
        <v>0</v>
      </c>
      <c r="G88" s="86">
        <f t="shared" si="43"/>
        <v>0</v>
      </c>
      <c r="H88" s="86">
        <f t="shared" si="43"/>
        <v>0</v>
      </c>
      <c r="I88" s="86">
        <f t="shared" si="43"/>
        <v>0</v>
      </c>
      <c r="J88" s="86">
        <f t="shared" si="43"/>
        <v>0</v>
      </c>
      <c r="K88" s="86">
        <f t="shared" si="43"/>
        <v>0</v>
      </c>
      <c r="L88" s="86">
        <f t="shared" si="43"/>
        <v>0</v>
      </c>
      <c r="M88" s="86">
        <f t="shared" si="43"/>
        <v>0</v>
      </c>
      <c r="N88" s="86">
        <f t="shared" si="43"/>
        <v>0</v>
      </c>
      <c r="O88" s="86">
        <f t="shared" si="43"/>
        <v>0</v>
      </c>
      <c r="P88" s="86"/>
      <c r="R88" s="102">
        <f t="shared" si="34"/>
        <v>0</v>
      </c>
      <c r="S88" s="85"/>
      <c r="T88" s="85"/>
      <c r="U88" s="85"/>
      <c r="V88" s="85"/>
      <c r="AD88" s="85">
        <f t="shared" si="35"/>
        <v>0</v>
      </c>
      <c r="AE88" s="89">
        <f t="shared" si="36"/>
        <v>0</v>
      </c>
    </row>
    <row r="89" spans="1:31" ht="12.75" hidden="1" outlineLevel="1">
      <c r="A89" s="65"/>
      <c r="B89" s="67"/>
      <c r="C89" s="67" t="s">
        <v>441</v>
      </c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R89" s="102">
        <f t="shared" si="34"/>
        <v>0</v>
      </c>
      <c r="AD89" s="85">
        <f t="shared" si="35"/>
        <v>0</v>
      </c>
      <c r="AE89" s="89">
        <f t="shared" si="36"/>
        <v>0</v>
      </c>
    </row>
    <row r="90" spans="1:31" ht="12.75" hidden="1" outlineLevel="1">
      <c r="A90" s="65"/>
      <c r="B90" s="67" t="s">
        <v>442</v>
      </c>
      <c r="C90" s="67" t="s">
        <v>443</v>
      </c>
      <c r="D90" s="86">
        <f>$P$90/12</f>
        <v>425.6675</v>
      </c>
      <c r="E90" s="86">
        <f aca="true" t="shared" si="44" ref="E90:O90">$P$90/12</f>
        <v>425.6675</v>
      </c>
      <c r="F90" s="86">
        <f t="shared" si="44"/>
        <v>425.6675</v>
      </c>
      <c r="G90" s="86">
        <f t="shared" si="44"/>
        <v>425.6675</v>
      </c>
      <c r="H90" s="86">
        <f t="shared" si="44"/>
        <v>425.6675</v>
      </c>
      <c r="I90" s="86">
        <f t="shared" si="44"/>
        <v>425.6675</v>
      </c>
      <c r="J90" s="86">
        <f t="shared" si="44"/>
        <v>425.6675</v>
      </c>
      <c r="K90" s="86">
        <f t="shared" si="44"/>
        <v>425.6675</v>
      </c>
      <c r="L90" s="86">
        <f t="shared" si="44"/>
        <v>425.6675</v>
      </c>
      <c r="M90" s="86">
        <f t="shared" si="44"/>
        <v>425.6675</v>
      </c>
      <c r="N90" s="86">
        <f t="shared" si="44"/>
        <v>425.6675</v>
      </c>
      <c r="O90" s="86">
        <f t="shared" si="44"/>
        <v>425.6675</v>
      </c>
      <c r="P90" s="86">
        <f>Staffing!J101</f>
        <v>5108.01</v>
      </c>
      <c r="R90" s="102">
        <f t="shared" si="34"/>
        <v>5108.01</v>
      </c>
      <c r="AD90" s="85">
        <f t="shared" si="35"/>
        <v>5108.01</v>
      </c>
      <c r="AE90" s="89">
        <f t="shared" si="36"/>
        <v>0</v>
      </c>
    </row>
    <row r="91" spans="1:31" ht="12.75" hidden="1" outlineLevel="1">
      <c r="A91" s="65"/>
      <c r="B91" s="236"/>
      <c r="C91" s="53" t="s">
        <v>32</v>
      </c>
      <c r="D91" s="86">
        <f>'Contract Summary'!E34</f>
        <v>0</v>
      </c>
      <c r="E91" s="86">
        <f>'Contract Summary'!F34</f>
        <v>0</v>
      </c>
      <c r="F91" s="86">
        <f>'Contract Summary'!G34</f>
        <v>0</v>
      </c>
      <c r="G91" s="86">
        <f>'Contract Summary'!H34</f>
        <v>0</v>
      </c>
      <c r="H91" s="86">
        <f>'Contract Summary'!I34</f>
        <v>0</v>
      </c>
      <c r="I91" s="86">
        <f>'Contract Summary'!J34</f>
        <v>0</v>
      </c>
      <c r="J91" s="86">
        <f>'Contract Summary'!K34</f>
        <v>7980</v>
      </c>
      <c r="K91" s="86">
        <f>'Contract Summary'!L34</f>
        <v>0</v>
      </c>
      <c r="L91" s="86">
        <f>'Contract Summary'!M34</f>
        <v>0</v>
      </c>
      <c r="M91" s="86">
        <f>'Contract Summary'!N34</f>
        <v>0</v>
      </c>
      <c r="N91" s="86">
        <f>'Contract Summary'!O34</f>
        <v>0</v>
      </c>
      <c r="O91" s="86">
        <f>'Contract Summary'!P34</f>
        <v>0</v>
      </c>
      <c r="P91" s="86">
        <f>'Contract Summary'!Q34</f>
        <v>7980</v>
      </c>
      <c r="R91" s="102">
        <f t="shared" si="34"/>
        <v>7980</v>
      </c>
      <c r="AD91" s="85">
        <f t="shared" si="35"/>
        <v>7980</v>
      </c>
      <c r="AE91" s="89">
        <f t="shared" si="36"/>
        <v>0</v>
      </c>
    </row>
    <row r="92" spans="1:31" ht="12.75" hidden="1" outlineLevel="1">
      <c r="A92" s="65"/>
      <c r="B92" s="236"/>
      <c r="C92" s="53" t="s">
        <v>31</v>
      </c>
      <c r="D92" s="86">
        <f>'Contract Summary'!E71</f>
        <v>0</v>
      </c>
      <c r="E92" s="86">
        <f>'Contract Summary'!F71</f>
        <v>0</v>
      </c>
      <c r="F92" s="86">
        <f>'Contract Summary'!G71</f>
        <v>3850</v>
      </c>
      <c r="G92" s="86">
        <f>'Contract Summary'!H71</f>
        <v>0</v>
      </c>
      <c r="H92" s="86">
        <f>'Contract Summary'!I71</f>
        <v>0</v>
      </c>
      <c r="I92" s="86">
        <f>'Contract Summary'!J71</f>
        <v>3850</v>
      </c>
      <c r="J92" s="86">
        <f>'Contract Summary'!K71</f>
        <v>0</v>
      </c>
      <c r="K92" s="86">
        <f>'Contract Summary'!L71</f>
        <v>0</v>
      </c>
      <c r="L92" s="86">
        <f>'Contract Summary'!M71</f>
        <v>3850</v>
      </c>
      <c r="M92" s="86">
        <f>'Contract Summary'!N71</f>
        <v>0</v>
      </c>
      <c r="N92" s="86">
        <f>'Contract Summary'!O71</f>
        <v>3850</v>
      </c>
      <c r="O92" s="86">
        <f>'Contract Summary'!P71</f>
        <v>0</v>
      </c>
      <c r="P92" s="86">
        <f>'Contract Summary'!Q71</f>
        <v>15400</v>
      </c>
      <c r="R92" s="102">
        <f t="shared" si="34"/>
        <v>15400</v>
      </c>
      <c r="AD92" s="85">
        <f t="shared" si="35"/>
        <v>15400</v>
      </c>
      <c r="AE92" s="89">
        <f t="shared" si="36"/>
        <v>0</v>
      </c>
    </row>
    <row r="93" spans="1:31" ht="12.75" hidden="1" outlineLevel="1">
      <c r="A93" s="65"/>
      <c r="B93" s="67"/>
      <c r="C93" s="67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AE93" s="89"/>
    </row>
    <row r="94" spans="3:31" ht="12.75" collapsed="1">
      <c r="C94" s="64" t="s">
        <v>444</v>
      </c>
      <c r="D94" s="93">
        <f>SUM(D79:D93)</f>
        <v>14278.4575</v>
      </c>
      <c r="E94" s="93">
        <f aca="true" t="shared" si="45" ref="E94:AD94">SUM(E79:E93)</f>
        <v>14278.4575</v>
      </c>
      <c r="F94" s="93">
        <f t="shared" si="45"/>
        <v>18128.4575</v>
      </c>
      <c r="G94" s="93">
        <f t="shared" si="45"/>
        <v>14278.4575</v>
      </c>
      <c r="H94" s="93">
        <f t="shared" si="45"/>
        <v>14278.4575</v>
      </c>
      <c r="I94" s="93">
        <f t="shared" si="45"/>
        <v>18128.4575</v>
      </c>
      <c r="J94" s="93">
        <f t="shared" si="45"/>
        <v>22258.4575</v>
      </c>
      <c r="K94" s="93">
        <f t="shared" si="45"/>
        <v>14278.4575</v>
      </c>
      <c r="L94" s="93">
        <f t="shared" si="45"/>
        <v>18128.4575</v>
      </c>
      <c r="M94" s="93">
        <f t="shared" si="45"/>
        <v>14278.4575</v>
      </c>
      <c r="N94" s="93">
        <f t="shared" si="45"/>
        <v>18128.4575</v>
      </c>
      <c r="O94" s="93">
        <f t="shared" si="45"/>
        <v>14278.4575</v>
      </c>
      <c r="P94" s="170">
        <f t="shared" si="45"/>
        <v>194721.49000000002</v>
      </c>
      <c r="Q94" s="93"/>
      <c r="R94" s="93">
        <f t="shared" si="45"/>
        <v>194721.49000000002</v>
      </c>
      <c r="S94" s="93">
        <f t="shared" si="45"/>
        <v>0</v>
      </c>
      <c r="T94" s="93">
        <f t="shared" si="45"/>
        <v>0</v>
      </c>
      <c r="U94" s="93">
        <f t="shared" si="45"/>
        <v>0</v>
      </c>
      <c r="V94" s="93">
        <f t="shared" si="45"/>
        <v>0</v>
      </c>
      <c r="W94" s="93">
        <f t="shared" si="45"/>
        <v>0</v>
      </c>
      <c r="X94" s="93">
        <f t="shared" si="45"/>
        <v>0</v>
      </c>
      <c r="Y94" s="93">
        <f t="shared" si="45"/>
        <v>0</v>
      </c>
      <c r="Z94" s="93">
        <f t="shared" si="45"/>
        <v>0</v>
      </c>
      <c r="AA94" s="93">
        <f t="shared" si="45"/>
        <v>0</v>
      </c>
      <c r="AB94" s="93">
        <f t="shared" si="45"/>
        <v>0</v>
      </c>
      <c r="AC94" s="93">
        <f t="shared" si="45"/>
        <v>0</v>
      </c>
      <c r="AD94" s="93">
        <f t="shared" si="45"/>
        <v>194721.49000000002</v>
      </c>
      <c r="AE94" s="89">
        <f t="shared" si="36"/>
        <v>0</v>
      </c>
    </row>
    <row r="95" spans="3:15" ht="7.5" customHeight="1">
      <c r="C95" s="64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 ht="12.75" hidden="1" outlineLevel="1">
      <c r="B96" t="s">
        <v>445</v>
      </c>
      <c r="C96" s="64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31" ht="12.75" hidden="1" outlineLevel="1">
      <c r="B97">
        <v>1105225</v>
      </c>
      <c r="C97" s="53" t="s">
        <v>568</v>
      </c>
      <c r="D97" s="86">
        <f>$P$97/12</f>
        <v>218.08350000000004</v>
      </c>
      <c r="E97" s="86">
        <f aca="true" t="shared" si="46" ref="E97:O97">$P$97/12</f>
        <v>218.08350000000004</v>
      </c>
      <c r="F97" s="86">
        <f t="shared" si="46"/>
        <v>218.08350000000004</v>
      </c>
      <c r="G97" s="86">
        <f t="shared" si="46"/>
        <v>218.08350000000004</v>
      </c>
      <c r="H97" s="86">
        <f t="shared" si="46"/>
        <v>218.08350000000004</v>
      </c>
      <c r="I97" s="86">
        <f t="shared" si="46"/>
        <v>218.08350000000004</v>
      </c>
      <c r="J97" s="86">
        <f t="shared" si="46"/>
        <v>218.08350000000004</v>
      </c>
      <c r="K97" s="86">
        <f t="shared" si="46"/>
        <v>218.08350000000004</v>
      </c>
      <c r="L97" s="86">
        <f t="shared" si="46"/>
        <v>218.08350000000004</v>
      </c>
      <c r="M97" s="86">
        <f t="shared" si="46"/>
        <v>218.08350000000004</v>
      </c>
      <c r="N97" s="86">
        <f t="shared" si="46"/>
        <v>218.08350000000004</v>
      </c>
      <c r="O97" s="86">
        <f t="shared" si="46"/>
        <v>218.08350000000004</v>
      </c>
      <c r="P97" s="86">
        <f>Staffing!H6</f>
        <v>2617.0020000000004</v>
      </c>
      <c r="R97" s="102">
        <f aca="true" t="shared" si="47" ref="R97:R108">P97-S97-T97-U97-V97-W97-X97-Y97-Z97-AB97-AC97</f>
        <v>2617.0020000000004</v>
      </c>
      <c r="AD97" s="85">
        <f aca="true" t="shared" si="48" ref="AD97:AD108">SUM(R97:AC97)</f>
        <v>2617.0020000000004</v>
      </c>
      <c r="AE97" s="89">
        <f aca="true" t="shared" si="49" ref="AE97:AE110">P97-AD97</f>
        <v>0</v>
      </c>
    </row>
    <row r="98" spans="3:31" ht="12.75" hidden="1" outlineLevel="1">
      <c r="C98" s="53" t="s">
        <v>446</v>
      </c>
      <c r="D98" s="86">
        <f>$P$98/12</f>
        <v>3142.2195000000006</v>
      </c>
      <c r="E98" s="86">
        <f aca="true" t="shared" si="50" ref="E98:O98">$P$98/12</f>
        <v>3142.2195000000006</v>
      </c>
      <c r="F98" s="86">
        <f t="shared" si="50"/>
        <v>3142.2195000000006</v>
      </c>
      <c r="G98" s="86">
        <f t="shared" si="50"/>
        <v>3142.2195000000006</v>
      </c>
      <c r="H98" s="86">
        <f t="shared" si="50"/>
        <v>3142.2195000000006</v>
      </c>
      <c r="I98" s="86">
        <f t="shared" si="50"/>
        <v>3142.2195000000006</v>
      </c>
      <c r="J98" s="86">
        <f t="shared" si="50"/>
        <v>3142.2195000000006</v>
      </c>
      <c r="K98" s="86">
        <f t="shared" si="50"/>
        <v>3142.2195000000006</v>
      </c>
      <c r="L98" s="86">
        <f t="shared" si="50"/>
        <v>3142.2195000000006</v>
      </c>
      <c r="M98" s="86">
        <f t="shared" si="50"/>
        <v>3142.2195000000006</v>
      </c>
      <c r="N98" s="86">
        <f t="shared" si="50"/>
        <v>3142.2195000000006</v>
      </c>
      <c r="O98" s="86">
        <f t="shared" si="50"/>
        <v>3142.2195000000006</v>
      </c>
      <c r="P98" s="86">
        <f>Staffing!H29+Staffing!H60+Staffing!H84+Staffing!H90+Staffing!H47</f>
        <v>37706.634000000005</v>
      </c>
      <c r="R98" s="102">
        <f>P98-S98-T98-U98-V98-W98-X98-Y98-Z98-AB98-AC98-AA98</f>
        <v>37706.634000000005</v>
      </c>
      <c r="S98" s="85"/>
      <c r="T98" s="85"/>
      <c r="U98" s="85"/>
      <c r="Y98" s="85"/>
      <c r="AA98" s="85"/>
      <c r="AC98" s="85"/>
      <c r="AD98" s="85">
        <f t="shared" si="48"/>
        <v>37706.634000000005</v>
      </c>
      <c r="AE98" s="89">
        <f t="shared" si="49"/>
        <v>0</v>
      </c>
    </row>
    <row r="99" spans="3:31" ht="12.75" hidden="1" outlineLevel="1">
      <c r="C99" s="53" t="s">
        <v>447</v>
      </c>
      <c r="D99" s="86">
        <f>$P$99/12</f>
        <v>245.41650000000004</v>
      </c>
      <c r="E99" s="86">
        <f>$P$99/12</f>
        <v>245.41650000000004</v>
      </c>
      <c r="F99" s="86">
        <f aca="true" t="shared" si="51" ref="F99:O99">$P$99/12</f>
        <v>245.41650000000004</v>
      </c>
      <c r="G99" s="86">
        <f t="shared" si="51"/>
        <v>245.41650000000004</v>
      </c>
      <c r="H99" s="86">
        <f t="shared" si="51"/>
        <v>245.41650000000004</v>
      </c>
      <c r="I99" s="86">
        <f t="shared" si="51"/>
        <v>245.41650000000004</v>
      </c>
      <c r="J99" s="86">
        <f t="shared" si="51"/>
        <v>245.41650000000004</v>
      </c>
      <c r="K99" s="86">
        <f t="shared" si="51"/>
        <v>245.41650000000004</v>
      </c>
      <c r="L99" s="86">
        <f t="shared" si="51"/>
        <v>245.41650000000004</v>
      </c>
      <c r="M99" s="86">
        <f t="shared" si="51"/>
        <v>245.41650000000004</v>
      </c>
      <c r="N99" s="86">
        <f t="shared" si="51"/>
        <v>245.41650000000004</v>
      </c>
      <c r="O99" s="86">
        <f t="shared" si="51"/>
        <v>245.41650000000004</v>
      </c>
      <c r="P99" s="86">
        <f>Staffing!H79</f>
        <v>2944.9980000000005</v>
      </c>
      <c r="R99" s="102">
        <f t="shared" si="47"/>
        <v>2944.9980000000005</v>
      </c>
      <c r="S99" s="100"/>
      <c r="AB99" s="100"/>
      <c r="AC99" s="100"/>
      <c r="AD99" s="85">
        <f t="shared" si="48"/>
        <v>2944.9980000000005</v>
      </c>
      <c r="AE99" s="89">
        <f t="shared" si="49"/>
        <v>0</v>
      </c>
    </row>
    <row r="100" spans="3:31" ht="12.75" hidden="1" outlineLevel="1">
      <c r="C100" s="53" t="s">
        <v>448</v>
      </c>
      <c r="D100" s="86">
        <f>$P$100/12</f>
        <v>554.022</v>
      </c>
      <c r="E100" s="86">
        <f aca="true" t="shared" si="52" ref="E100:O100">$P$100/12</f>
        <v>554.022</v>
      </c>
      <c r="F100" s="86">
        <f t="shared" si="52"/>
        <v>554.022</v>
      </c>
      <c r="G100" s="86">
        <f t="shared" si="52"/>
        <v>554.022</v>
      </c>
      <c r="H100" s="86">
        <f t="shared" si="52"/>
        <v>554.022</v>
      </c>
      <c r="I100" s="86">
        <f t="shared" si="52"/>
        <v>554.022</v>
      </c>
      <c r="J100" s="86">
        <f t="shared" si="52"/>
        <v>554.022</v>
      </c>
      <c r="K100" s="86">
        <f t="shared" si="52"/>
        <v>554.022</v>
      </c>
      <c r="L100" s="86">
        <f t="shared" si="52"/>
        <v>554.022</v>
      </c>
      <c r="M100" s="86">
        <f t="shared" si="52"/>
        <v>554.022</v>
      </c>
      <c r="N100" s="86">
        <f t="shared" si="52"/>
        <v>554.022</v>
      </c>
      <c r="O100" s="86">
        <f t="shared" si="52"/>
        <v>554.022</v>
      </c>
      <c r="P100" s="86">
        <f>Staffing!H97</f>
        <v>6648.264000000001</v>
      </c>
      <c r="R100" s="102">
        <f t="shared" si="47"/>
        <v>6648.264000000001</v>
      </c>
      <c r="AD100" s="85">
        <f t="shared" si="48"/>
        <v>6648.264000000001</v>
      </c>
      <c r="AE100" s="89">
        <f t="shared" si="49"/>
        <v>0</v>
      </c>
    </row>
    <row r="101" spans="3:31" ht="12.75" hidden="1" outlineLevel="1">
      <c r="C101" s="53" t="s">
        <v>449</v>
      </c>
      <c r="D101" s="86">
        <f>$P$101/12</f>
        <v>298.12500000000006</v>
      </c>
      <c r="E101" s="86">
        <f aca="true" t="shared" si="53" ref="E101:O101">$P$101/12</f>
        <v>298.12500000000006</v>
      </c>
      <c r="F101" s="86">
        <f t="shared" si="53"/>
        <v>298.12500000000006</v>
      </c>
      <c r="G101" s="86">
        <f t="shared" si="53"/>
        <v>298.12500000000006</v>
      </c>
      <c r="H101" s="86">
        <f t="shared" si="53"/>
        <v>298.12500000000006</v>
      </c>
      <c r="I101" s="86">
        <f t="shared" si="53"/>
        <v>298.12500000000006</v>
      </c>
      <c r="J101" s="86">
        <f t="shared" si="53"/>
        <v>298.12500000000006</v>
      </c>
      <c r="K101" s="86">
        <f t="shared" si="53"/>
        <v>298.12500000000006</v>
      </c>
      <c r="L101" s="86">
        <f t="shared" si="53"/>
        <v>298.12500000000006</v>
      </c>
      <c r="M101" s="86">
        <f t="shared" si="53"/>
        <v>298.12500000000006</v>
      </c>
      <c r="N101" s="86">
        <f t="shared" si="53"/>
        <v>298.12500000000006</v>
      </c>
      <c r="O101" s="86">
        <f t="shared" si="53"/>
        <v>298.12500000000006</v>
      </c>
      <c r="P101" s="86">
        <f>Staffing!H115</f>
        <v>3577.500000000001</v>
      </c>
      <c r="R101" s="102">
        <f t="shared" si="47"/>
        <v>3577.500000000001</v>
      </c>
      <c r="AD101" s="85">
        <f t="shared" si="48"/>
        <v>3577.500000000001</v>
      </c>
      <c r="AE101" s="89">
        <f t="shared" si="49"/>
        <v>0</v>
      </c>
    </row>
    <row r="102" spans="2:31" ht="12.75" hidden="1" outlineLevel="1">
      <c r="B102">
        <v>3120225</v>
      </c>
      <c r="C102" s="53" t="s">
        <v>252</v>
      </c>
      <c r="D102" s="86">
        <f>$P$102/12</f>
        <v>0</v>
      </c>
      <c r="E102" s="86">
        <f aca="true" t="shared" si="54" ref="E102:O102">$P$102/12</f>
        <v>0</v>
      </c>
      <c r="F102" s="86">
        <f t="shared" si="54"/>
        <v>0</v>
      </c>
      <c r="G102" s="86">
        <f t="shared" si="54"/>
        <v>0</v>
      </c>
      <c r="H102" s="86">
        <f t="shared" si="54"/>
        <v>0</v>
      </c>
      <c r="I102" s="86">
        <f t="shared" si="54"/>
        <v>0</v>
      </c>
      <c r="J102" s="86">
        <f t="shared" si="54"/>
        <v>0</v>
      </c>
      <c r="K102" s="86">
        <f t="shared" si="54"/>
        <v>0</v>
      </c>
      <c r="L102" s="86">
        <f t="shared" si="54"/>
        <v>0</v>
      </c>
      <c r="M102" s="86">
        <f t="shared" si="54"/>
        <v>0</v>
      </c>
      <c r="N102" s="86">
        <f t="shared" si="54"/>
        <v>0</v>
      </c>
      <c r="O102" s="86">
        <f t="shared" si="54"/>
        <v>0</v>
      </c>
      <c r="P102" s="86"/>
      <c r="R102" s="102">
        <f t="shared" si="47"/>
        <v>0</v>
      </c>
      <c r="AD102" s="85">
        <f t="shared" si="48"/>
        <v>0</v>
      </c>
      <c r="AE102" s="89">
        <f t="shared" si="49"/>
        <v>0</v>
      </c>
    </row>
    <row r="103" spans="3:31" ht="12.75" hidden="1" outlineLevel="1">
      <c r="C103" s="53" t="s">
        <v>450</v>
      </c>
      <c r="D103" s="86">
        <f>$P$103/12</f>
        <v>0</v>
      </c>
      <c r="E103" s="86">
        <f aca="true" t="shared" si="55" ref="E103:O103">$P$103/12</f>
        <v>0</v>
      </c>
      <c r="F103" s="86">
        <f t="shared" si="55"/>
        <v>0</v>
      </c>
      <c r="G103" s="86">
        <f t="shared" si="55"/>
        <v>0</v>
      </c>
      <c r="H103" s="86">
        <f t="shared" si="55"/>
        <v>0</v>
      </c>
      <c r="I103" s="86">
        <f t="shared" si="55"/>
        <v>0</v>
      </c>
      <c r="J103" s="86">
        <f t="shared" si="55"/>
        <v>0</v>
      </c>
      <c r="K103" s="86">
        <f t="shared" si="55"/>
        <v>0</v>
      </c>
      <c r="L103" s="86">
        <f t="shared" si="55"/>
        <v>0</v>
      </c>
      <c r="M103" s="86">
        <f t="shared" si="55"/>
        <v>0</v>
      </c>
      <c r="N103" s="86">
        <f t="shared" si="55"/>
        <v>0</v>
      </c>
      <c r="O103" s="86">
        <f t="shared" si="55"/>
        <v>0</v>
      </c>
      <c r="P103" s="86"/>
      <c r="R103" s="102">
        <f t="shared" si="47"/>
        <v>0</v>
      </c>
      <c r="AD103" s="85">
        <f t="shared" si="48"/>
        <v>0</v>
      </c>
      <c r="AE103" s="89">
        <f t="shared" si="49"/>
        <v>0</v>
      </c>
    </row>
    <row r="104" spans="3:31" ht="12.75" hidden="1" outlineLevel="1">
      <c r="C104" s="53" t="s">
        <v>451</v>
      </c>
      <c r="D104" s="86">
        <f aca="true" t="shared" si="56" ref="D104:N104">$P$104/12</f>
        <v>0</v>
      </c>
      <c r="E104" s="86">
        <f t="shared" si="56"/>
        <v>0</v>
      </c>
      <c r="F104" s="86">
        <f t="shared" si="56"/>
        <v>0</v>
      </c>
      <c r="G104" s="86">
        <f t="shared" si="56"/>
        <v>0</v>
      </c>
      <c r="H104" s="86">
        <f t="shared" si="56"/>
        <v>0</v>
      </c>
      <c r="I104" s="86">
        <f t="shared" si="56"/>
        <v>0</v>
      </c>
      <c r="J104" s="86">
        <f t="shared" si="56"/>
        <v>0</v>
      </c>
      <c r="K104" s="86">
        <f t="shared" si="56"/>
        <v>0</v>
      </c>
      <c r="L104" s="86">
        <f t="shared" si="56"/>
        <v>0</v>
      </c>
      <c r="M104" s="86">
        <f t="shared" si="56"/>
        <v>0</v>
      </c>
      <c r="N104" s="86">
        <f t="shared" si="56"/>
        <v>0</v>
      </c>
      <c r="O104" s="86">
        <f>$P$104/12</f>
        <v>0</v>
      </c>
      <c r="P104" s="86">
        <f>Staffing!H104</f>
        <v>0</v>
      </c>
      <c r="R104" s="102">
        <f t="shared" si="47"/>
        <v>0</v>
      </c>
      <c r="AD104" s="85">
        <f t="shared" si="48"/>
        <v>0</v>
      </c>
      <c r="AE104" s="89">
        <f t="shared" si="49"/>
        <v>0</v>
      </c>
    </row>
    <row r="105" spans="3:31" ht="12.75" hidden="1" outlineLevel="1">
      <c r="C105" s="53" t="s">
        <v>452</v>
      </c>
      <c r="D105" s="86">
        <f aca="true" t="shared" si="57" ref="D105:N105">$P$105/12</f>
        <v>128.205</v>
      </c>
      <c r="E105" s="86">
        <f t="shared" si="57"/>
        <v>128.205</v>
      </c>
      <c r="F105" s="86">
        <f t="shared" si="57"/>
        <v>128.205</v>
      </c>
      <c r="G105" s="86">
        <f t="shared" si="57"/>
        <v>128.205</v>
      </c>
      <c r="H105" s="86">
        <f t="shared" si="57"/>
        <v>128.205</v>
      </c>
      <c r="I105" s="86">
        <f t="shared" si="57"/>
        <v>128.205</v>
      </c>
      <c r="J105" s="86">
        <f t="shared" si="57"/>
        <v>128.205</v>
      </c>
      <c r="K105" s="86">
        <f t="shared" si="57"/>
        <v>128.205</v>
      </c>
      <c r="L105" s="86">
        <f t="shared" si="57"/>
        <v>128.205</v>
      </c>
      <c r="M105" s="86">
        <f t="shared" si="57"/>
        <v>128.205</v>
      </c>
      <c r="N105" s="86">
        <f t="shared" si="57"/>
        <v>128.205</v>
      </c>
      <c r="O105" s="86">
        <f>$P$105/12</f>
        <v>128.205</v>
      </c>
      <c r="P105" s="86">
        <f>Staffing!H110</f>
        <v>1538.4600000000003</v>
      </c>
      <c r="R105" s="102">
        <f t="shared" si="47"/>
        <v>1538.4600000000003</v>
      </c>
      <c r="AD105" s="85">
        <f t="shared" si="48"/>
        <v>1538.4600000000003</v>
      </c>
      <c r="AE105" s="89">
        <f t="shared" si="49"/>
        <v>0</v>
      </c>
    </row>
    <row r="106" spans="3:31" ht="12.75" hidden="1" outlineLevel="1">
      <c r="C106" s="53" t="s">
        <v>453</v>
      </c>
      <c r="D106" s="86">
        <f>$P$106/12</f>
        <v>0</v>
      </c>
      <c r="E106" s="86">
        <f aca="true" t="shared" si="58" ref="E106:O106">$P$106/12</f>
        <v>0</v>
      </c>
      <c r="F106" s="86">
        <f t="shared" si="58"/>
        <v>0</v>
      </c>
      <c r="G106" s="86">
        <f t="shared" si="58"/>
        <v>0</v>
      </c>
      <c r="H106" s="86">
        <f t="shared" si="58"/>
        <v>0</v>
      </c>
      <c r="I106" s="86">
        <f t="shared" si="58"/>
        <v>0</v>
      </c>
      <c r="J106" s="86">
        <f t="shared" si="58"/>
        <v>0</v>
      </c>
      <c r="K106" s="86">
        <f t="shared" si="58"/>
        <v>0</v>
      </c>
      <c r="L106" s="86">
        <f t="shared" si="58"/>
        <v>0</v>
      </c>
      <c r="M106" s="86">
        <f t="shared" si="58"/>
        <v>0</v>
      </c>
      <c r="N106" s="86">
        <f t="shared" si="58"/>
        <v>0</v>
      </c>
      <c r="O106" s="86">
        <f t="shared" si="58"/>
        <v>0</v>
      </c>
      <c r="P106" s="86"/>
      <c r="R106" s="102">
        <f t="shared" si="47"/>
        <v>0</v>
      </c>
      <c r="S106" s="85"/>
      <c r="T106" s="85"/>
      <c r="U106" s="85"/>
      <c r="V106" s="85"/>
      <c r="AD106" s="85">
        <f t="shared" si="48"/>
        <v>0</v>
      </c>
      <c r="AE106" s="89">
        <f t="shared" si="49"/>
        <v>0</v>
      </c>
    </row>
    <row r="107" spans="3:31" ht="12.75" hidden="1" outlineLevel="1">
      <c r="C107" s="53" t="s">
        <v>454</v>
      </c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R107" s="102">
        <f t="shared" si="47"/>
        <v>0</v>
      </c>
      <c r="AD107" s="85">
        <f t="shared" si="48"/>
        <v>0</v>
      </c>
      <c r="AE107" s="89">
        <f t="shared" si="49"/>
        <v>0</v>
      </c>
    </row>
    <row r="108" spans="3:31" ht="12.75" hidden="1" outlineLevel="1">
      <c r="C108" s="53" t="s">
        <v>455</v>
      </c>
      <c r="D108" s="86">
        <f>$P$108/12</f>
        <v>201.33000000000004</v>
      </c>
      <c r="E108" s="86">
        <f aca="true" t="shared" si="59" ref="E108:O108">$P$108/12</f>
        <v>201.33000000000004</v>
      </c>
      <c r="F108" s="86">
        <f t="shared" si="59"/>
        <v>201.33000000000004</v>
      </c>
      <c r="G108" s="86">
        <f t="shared" si="59"/>
        <v>201.33000000000004</v>
      </c>
      <c r="H108" s="86">
        <f t="shared" si="59"/>
        <v>201.33000000000004</v>
      </c>
      <c r="I108" s="86">
        <f t="shared" si="59"/>
        <v>201.33000000000004</v>
      </c>
      <c r="J108" s="86">
        <f t="shared" si="59"/>
        <v>201.33000000000004</v>
      </c>
      <c r="K108" s="86">
        <f t="shared" si="59"/>
        <v>201.33000000000004</v>
      </c>
      <c r="L108" s="86">
        <f t="shared" si="59"/>
        <v>201.33000000000004</v>
      </c>
      <c r="M108" s="86">
        <f t="shared" si="59"/>
        <v>201.33000000000004</v>
      </c>
      <c r="N108" s="86">
        <f t="shared" si="59"/>
        <v>201.33000000000004</v>
      </c>
      <c r="O108" s="86">
        <f t="shared" si="59"/>
        <v>201.33000000000004</v>
      </c>
      <c r="P108" s="86">
        <f>Staffing!H101</f>
        <v>2415.9600000000005</v>
      </c>
      <c r="R108" s="102">
        <f t="shared" si="47"/>
        <v>2415.9600000000005</v>
      </c>
      <c r="AD108" s="85">
        <f t="shared" si="48"/>
        <v>2415.9600000000005</v>
      </c>
      <c r="AE108" s="89">
        <f t="shared" si="49"/>
        <v>0</v>
      </c>
    </row>
    <row r="109" spans="3:31" ht="12.75" hidden="1" outlineLevel="1">
      <c r="C109" s="53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AE109" s="89"/>
    </row>
    <row r="110" spans="3:31" ht="12.75" collapsed="1">
      <c r="C110" s="64" t="s">
        <v>456</v>
      </c>
      <c r="D110" s="93">
        <f>SUM(D96:D109)</f>
        <v>4787.401500000001</v>
      </c>
      <c r="E110" s="93">
        <f aca="true" t="shared" si="60" ref="E110:AD110">SUM(E96:E109)</f>
        <v>4787.401500000001</v>
      </c>
      <c r="F110" s="93">
        <f t="shared" si="60"/>
        <v>4787.401500000001</v>
      </c>
      <c r="G110" s="93">
        <f t="shared" si="60"/>
        <v>4787.401500000001</v>
      </c>
      <c r="H110" s="93">
        <f t="shared" si="60"/>
        <v>4787.401500000001</v>
      </c>
      <c r="I110" s="93">
        <f t="shared" si="60"/>
        <v>4787.401500000001</v>
      </c>
      <c r="J110" s="93">
        <f t="shared" si="60"/>
        <v>4787.401500000001</v>
      </c>
      <c r="K110" s="93">
        <f t="shared" si="60"/>
        <v>4787.401500000001</v>
      </c>
      <c r="L110" s="93">
        <f t="shared" si="60"/>
        <v>4787.401500000001</v>
      </c>
      <c r="M110" s="93">
        <f t="shared" si="60"/>
        <v>4787.401500000001</v>
      </c>
      <c r="N110" s="93">
        <f t="shared" si="60"/>
        <v>4787.401500000001</v>
      </c>
      <c r="O110" s="93">
        <f t="shared" si="60"/>
        <v>4787.401500000001</v>
      </c>
      <c r="P110" s="170">
        <f t="shared" si="60"/>
        <v>57448.81800000001</v>
      </c>
      <c r="Q110" s="93"/>
      <c r="R110" s="93">
        <f t="shared" si="60"/>
        <v>57448.81800000001</v>
      </c>
      <c r="S110" s="93">
        <f t="shared" si="60"/>
        <v>0</v>
      </c>
      <c r="T110" s="93">
        <f t="shared" si="60"/>
        <v>0</v>
      </c>
      <c r="U110" s="93">
        <f t="shared" si="60"/>
        <v>0</v>
      </c>
      <c r="V110" s="93">
        <f t="shared" si="60"/>
        <v>0</v>
      </c>
      <c r="W110" s="93">
        <f t="shared" si="60"/>
        <v>0</v>
      </c>
      <c r="X110" s="93">
        <f t="shared" si="60"/>
        <v>0</v>
      </c>
      <c r="Y110" s="93">
        <f t="shared" si="60"/>
        <v>0</v>
      </c>
      <c r="Z110" s="93">
        <f t="shared" si="60"/>
        <v>0</v>
      </c>
      <c r="AA110" s="93">
        <f t="shared" si="60"/>
        <v>0</v>
      </c>
      <c r="AB110" s="93">
        <f t="shared" si="60"/>
        <v>0</v>
      </c>
      <c r="AC110" s="93">
        <f t="shared" si="60"/>
        <v>0</v>
      </c>
      <c r="AD110" s="93">
        <f t="shared" si="60"/>
        <v>57448.81800000001</v>
      </c>
      <c r="AE110" s="89">
        <f t="shared" si="49"/>
        <v>0</v>
      </c>
    </row>
    <row r="111" spans="3:16" ht="9" customHeight="1">
      <c r="C111" s="64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178"/>
    </row>
    <row r="112" spans="2:15" ht="12.75" hidden="1" outlineLevel="1">
      <c r="B112" t="s">
        <v>457</v>
      </c>
      <c r="C112" s="64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3:31" ht="12.75" hidden="1" outlineLevel="1">
      <c r="C113" s="53" t="s">
        <v>351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235">
        <f>Staffing!G6</f>
        <v>0</v>
      </c>
      <c r="R113" s="102">
        <f aca="true" t="shared" si="61" ref="R113:R123">P113-S113-T113-U113-V113-W113-X113-Y113-Z113-AB113-AC113</f>
        <v>0</v>
      </c>
      <c r="AD113" s="85">
        <f aca="true" t="shared" si="62" ref="AD113:AD123">SUM(R113:AC113)</f>
        <v>0</v>
      </c>
      <c r="AE113" s="89">
        <f aca="true" t="shared" si="63" ref="AE113:AE125">P113-AD113</f>
        <v>0</v>
      </c>
    </row>
    <row r="114" spans="3:31" ht="12.75" hidden="1" outlineLevel="1">
      <c r="C114" s="53" t="s">
        <v>458</v>
      </c>
      <c r="D114" s="86">
        <f aca="true" t="shared" si="64" ref="D114:N114">$P$114/12</f>
        <v>645.5491666666667</v>
      </c>
      <c r="E114" s="86">
        <f t="shared" si="64"/>
        <v>645.5491666666667</v>
      </c>
      <c r="F114" s="86">
        <f t="shared" si="64"/>
        <v>645.5491666666667</v>
      </c>
      <c r="G114" s="86">
        <f t="shared" si="64"/>
        <v>645.5491666666667</v>
      </c>
      <c r="H114" s="86">
        <f t="shared" si="64"/>
        <v>645.5491666666667</v>
      </c>
      <c r="I114" s="86">
        <f t="shared" si="64"/>
        <v>645.5491666666667</v>
      </c>
      <c r="J114" s="86">
        <f t="shared" si="64"/>
        <v>645.5491666666667</v>
      </c>
      <c r="K114" s="86">
        <f t="shared" si="64"/>
        <v>645.5491666666667</v>
      </c>
      <c r="L114" s="86">
        <f t="shared" si="64"/>
        <v>645.5491666666667</v>
      </c>
      <c r="M114" s="86">
        <f t="shared" si="64"/>
        <v>645.5491666666667</v>
      </c>
      <c r="N114" s="86">
        <f t="shared" si="64"/>
        <v>645.5491666666667</v>
      </c>
      <c r="O114" s="86">
        <f>$P$114/12</f>
        <v>645.5491666666667</v>
      </c>
      <c r="P114" s="235">
        <f>Staffing!G29+Staffing!G47+Staffing!G60+Staffing!G65+Staffing!G84+Staffing!G90</f>
        <v>7746.59</v>
      </c>
      <c r="R114" s="102">
        <f t="shared" si="61"/>
        <v>7746.59</v>
      </c>
      <c r="AD114" s="85">
        <f t="shared" si="62"/>
        <v>7746.59</v>
      </c>
      <c r="AE114" s="89">
        <f t="shared" si="63"/>
        <v>0</v>
      </c>
    </row>
    <row r="115" spans="3:31" ht="12.75" hidden="1" outlineLevel="1">
      <c r="C115" s="53" t="s">
        <v>459</v>
      </c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235">
        <f>Staffing!G79</f>
        <v>0</v>
      </c>
      <c r="R115" s="102">
        <f t="shared" si="61"/>
        <v>0</v>
      </c>
      <c r="AD115" s="85">
        <f t="shared" si="62"/>
        <v>0</v>
      </c>
      <c r="AE115" s="89">
        <f t="shared" si="63"/>
        <v>0</v>
      </c>
    </row>
    <row r="116" spans="3:31" ht="12.75" hidden="1" outlineLevel="1">
      <c r="C116" s="53" t="s">
        <v>460</v>
      </c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235">
        <f>Staffing!G97</f>
        <v>1550</v>
      </c>
      <c r="R116" s="102">
        <f t="shared" si="61"/>
        <v>1550</v>
      </c>
      <c r="AD116" s="85">
        <f t="shared" si="62"/>
        <v>1550</v>
      </c>
      <c r="AE116" s="89">
        <f t="shared" si="63"/>
        <v>0</v>
      </c>
    </row>
    <row r="117" spans="3:31" ht="12.75" hidden="1" outlineLevel="1">
      <c r="C117" s="53" t="s">
        <v>461</v>
      </c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235">
        <f>Staffing!G115</f>
        <v>0</v>
      </c>
      <c r="R117" s="102">
        <f t="shared" si="61"/>
        <v>0</v>
      </c>
      <c r="AD117" s="85">
        <f t="shared" si="62"/>
        <v>0</v>
      </c>
      <c r="AE117" s="89">
        <f t="shared" si="63"/>
        <v>0</v>
      </c>
    </row>
    <row r="118" spans="3:31" ht="12.75" hidden="1" outlineLevel="1">
      <c r="C118" s="53" t="s">
        <v>462</v>
      </c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R118" s="102">
        <f t="shared" si="61"/>
        <v>0</v>
      </c>
      <c r="AD118" s="85">
        <f t="shared" si="62"/>
        <v>0</v>
      </c>
      <c r="AE118" s="89">
        <f t="shared" si="63"/>
        <v>0</v>
      </c>
    </row>
    <row r="119" spans="3:31" ht="12.75" hidden="1" outlineLevel="1">
      <c r="C119" s="53" t="s">
        <v>463</v>
      </c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235">
        <f>Staffing!G104</f>
        <v>0</v>
      </c>
      <c r="R119" s="102">
        <f t="shared" si="61"/>
        <v>0</v>
      </c>
      <c r="AD119" s="85">
        <f t="shared" si="62"/>
        <v>0</v>
      </c>
      <c r="AE119" s="89">
        <f t="shared" si="63"/>
        <v>0</v>
      </c>
    </row>
    <row r="120" spans="3:31" ht="12.75" hidden="1" outlineLevel="1">
      <c r="C120" s="53" t="s">
        <v>464</v>
      </c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235">
        <f>Staffing!G110</f>
        <v>0</v>
      </c>
      <c r="R120" s="102">
        <f t="shared" si="61"/>
        <v>0</v>
      </c>
      <c r="AD120" s="85">
        <f t="shared" si="62"/>
        <v>0</v>
      </c>
      <c r="AE120" s="89">
        <f t="shared" si="63"/>
        <v>0</v>
      </c>
    </row>
    <row r="121" spans="3:31" ht="12.75" hidden="1" outlineLevel="1">
      <c r="C121" s="53" t="s">
        <v>465</v>
      </c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R121" s="102">
        <f t="shared" si="61"/>
        <v>0</v>
      </c>
      <c r="AD121" s="85">
        <f t="shared" si="62"/>
        <v>0</v>
      </c>
      <c r="AE121" s="89">
        <f t="shared" si="63"/>
        <v>0</v>
      </c>
    </row>
    <row r="122" spans="3:31" ht="12.75" hidden="1" outlineLevel="1">
      <c r="C122" s="53" t="s">
        <v>466</v>
      </c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R122" s="102">
        <f t="shared" si="61"/>
        <v>0</v>
      </c>
      <c r="AD122" s="85">
        <f t="shared" si="62"/>
        <v>0</v>
      </c>
      <c r="AE122" s="89">
        <f t="shared" si="63"/>
        <v>0</v>
      </c>
    </row>
    <row r="123" spans="3:31" ht="12.75" hidden="1" outlineLevel="1">
      <c r="C123" s="53" t="s">
        <v>467</v>
      </c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235">
        <f>Staffing!G101</f>
        <v>0</v>
      </c>
      <c r="R123" s="102">
        <f t="shared" si="61"/>
        <v>0</v>
      </c>
      <c r="AD123" s="85">
        <f t="shared" si="62"/>
        <v>0</v>
      </c>
      <c r="AE123" s="89">
        <f t="shared" si="63"/>
        <v>0</v>
      </c>
    </row>
    <row r="124" spans="3:15" ht="12.75" hidden="1" outlineLevel="1">
      <c r="C124" s="64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</row>
    <row r="125" spans="3:31" ht="12.75" collapsed="1">
      <c r="C125" s="64" t="s">
        <v>468</v>
      </c>
      <c r="D125" s="93">
        <f>SUM(D112:D124)</f>
        <v>645.5491666666667</v>
      </c>
      <c r="E125" s="93">
        <f aca="true" t="shared" si="65" ref="E125:P125">SUM(E112:E124)</f>
        <v>645.5491666666667</v>
      </c>
      <c r="F125" s="93">
        <f t="shared" si="65"/>
        <v>645.5491666666667</v>
      </c>
      <c r="G125" s="93">
        <f t="shared" si="65"/>
        <v>645.5491666666667</v>
      </c>
      <c r="H125" s="93">
        <f t="shared" si="65"/>
        <v>645.5491666666667</v>
      </c>
      <c r="I125" s="93">
        <f t="shared" si="65"/>
        <v>645.5491666666667</v>
      </c>
      <c r="J125" s="93">
        <f t="shared" si="65"/>
        <v>645.5491666666667</v>
      </c>
      <c r="K125" s="93">
        <f t="shared" si="65"/>
        <v>645.5491666666667</v>
      </c>
      <c r="L125" s="93">
        <f t="shared" si="65"/>
        <v>645.5491666666667</v>
      </c>
      <c r="M125" s="93">
        <f t="shared" si="65"/>
        <v>645.5491666666667</v>
      </c>
      <c r="N125" s="93">
        <f t="shared" si="65"/>
        <v>645.5491666666667</v>
      </c>
      <c r="O125" s="93">
        <f t="shared" si="65"/>
        <v>645.5491666666667</v>
      </c>
      <c r="P125" s="93">
        <f t="shared" si="65"/>
        <v>9296.59</v>
      </c>
      <c r="R125" s="93">
        <f aca="true" t="shared" si="66" ref="R125:AD125">SUM(R112:R124)</f>
        <v>9296.59</v>
      </c>
      <c r="S125" s="93">
        <f t="shared" si="66"/>
        <v>0</v>
      </c>
      <c r="T125" s="93">
        <f t="shared" si="66"/>
        <v>0</v>
      </c>
      <c r="U125" s="93">
        <f t="shared" si="66"/>
        <v>0</v>
      </c>
      <c r="V125" s="93">
        <f t="shared" si="66"/>
        <v>0</v>
      </c>
      <c r="W125" s="93">
        <f t="shared" si="66"/>
        <v>0</v>
      </c>
      <c r="X125" s="93">
        <f t="shared" si="66"/>
        <v>0</v>
      </c>
      <c r="Y125" s="93">
        <f t="shared" si="66"/>
        <v>0</v>
      </c>
      <c r="Z125" s="93">
        <f t="shared" si="66"/>
        <v>0</v>
      </c>
      <c r="AA125" s="93">
        <f t="shared" si="66"/>
        <v>0</v>
      </c>
      <c r="AB125" s="93">
        <f t="shared" si="66"/>
        <v>0</v>
      </c>
      <c r="AC125" s="93">
        <f t="shared" si="66"/>
        <v>0</v>
      </c>
      <c r="AD125" s="93">
        <f t="shared" si="66"/>
        <v>9296.59</v>
      </c>
      <c r="AE125" s="89">
        <f t="shared" si="63"/>
        <v>0</v>
      </c>
    </row>
    <row r="126" spans="3:15" ht="10.5" customHeight="1">
      <c r="C126" s="64"/>
      <c r="D126" s="95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</row>
    <row r="127" spans="2:15" ht="12.75" hidden="1" outlineLevel="1">
      <c r="B127" t="s">
        <v>352</v>
      </c>
      <c r="C127" s="64"/>
      <c r="D127" s="95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</row>
    <row r="128" spans="2:31" ht="12.75" hidden="1" outlineLevel="1">
      <c r="B128">
        <v>1105231</v>
      </c>
      <c r="C128" s="53" t="s">
        <v>353</v>
      </c>
      <c r="D128" s="98">
        <f>$P$128/12</f>
        <v>1978.9058333333332</v>
      </c>
      <c r="E128" s="98">
        <f aca="true" t="shared" si="67" ref="E128:O128">$P$128/12</f>
        <v>1978.9058333333332</v>
      </c>
      <c r="F128" s="98">
        <f t="shared" si="67"/>
        <v>1978.9058333333332</v>
      </c>
      <c r="G128" s="98">
        <f t="shared" si="67"/>
        <v>1978.9058333333332</v>
      </c>
      <c r="H128" s="98">
        <f t="shared" si="67"/>
        <v>1978.9058333333332</v>
      </c>
      <c r="I128" s="98">
        <f t="shared" si="67"/>
        <v>1978.9058333333332</v>
      </c>
      <c r="J128" s="98">
        <f t="shared" si="67"/>
        <v>1978.9058333333332</v>
      </c>
      <c r="K128" s="98">
        <f t="shared" si="67"/>
        <v>1978.9058333333332</v>
      </c>
      <c r="L128" s="98">
        <f t="shared" si="67"/>
        <v>1978.9058333333332</v>
      </c>
      <c r="M128" s="98">
        <f t="shared" si="67"/>
        <v>1978.9058333333332</v>
      </c>
      <c r="N128" s="98">
        <f t="shared" si="67"/>
        <v>1978.9058333333332</v>
      </c>
      <c r="O128" s="98">
        <f t="shared" si="67"/>
        <v>1978.9058333333332</v>
      </c>
      <c r="P128" s="86">
        <f>Staffing!F6</f>
        <v>23746.87</v>
      </c>
      <c r="R128" s="102">
        <f aca="true" t="shared" si="68" ref="R128:R140">P128-S128-T128-U128-V128-W128-X128-Y128-Z128-AB128-AC128</f>
        <v>23746.87</v>
      </c>
      <c r="AD128" s="85">
        <f aca="true" t="shared" si="69" ref="AD128:AD140">SUM(R128:AC128)</f>
        <v>23746.87</v>
      </c>
      <c r="AE128" s="89">
        <f aca="true" t="shared" si="70" ref="AE128:AE142">P128-AD128</f>
        <v>0</v>
      </c>
    </row>
    <row r="129" spans="3:31" ht="12.75" hidden="1" outlineLevel="1">
      <c r="C129" s="53" t="s">
        <v>214</v>
      </c>
      <c r="D129" s="98">
        <f>$P$129/12</f>
        <v>25951.772083333326</v>
      </c>
      <c r="E129" s="98">
        <f aca="true" t="shared" si="71" ref="E129:O129">$P$129/12</f>
        <v>25951.772083333326</v>
      </c>
      <c r="F129" s="98">
        <f t="shared" si="71"/>
        <v>25951.772083333326</v>
      </c>
      <c r="G129" s="98">
        <f t="shared" si="71"/>
        <v>25951.772083333326</v>
      </c>
      <c r="H129" s="98">
        <f t="shared" si="71"/>
        <v>25951.772083333326</v>
      </c>
      <c r="I129" s="98">
        <f t="shared" si="71"/>
        <v>25951.772083333326</v>
      </c>
      <c r="J129" s="98">
        <f t="shared" si="71"/>
        <v>25951.772083333326</v>
      </c>
      <c r="K129" s="98">
        <f t="shared" si="71"/>
        <v>25951.772083333326</v>
      </c>
      <c r="L129" s="98">
        <f t="shared" si="71"/>
        <v>25951.772083333326</v>
      </c>
      <c r="M129" s="98">
        <f t="shared" si="71"/>
        <v>25951.772083333326</v>
      </c>
      <c r="N129" s="98">
        <f t="shared" si="71"/>
        <v>25951.772083333326</v>
      </c>
      <c r="O129" s="98">
        <f t="shared" si="71"/>
        <v>25951.772083333326</v>
      </c>
      <c r="P129" s="86">
        <f>Staffing!F29+Staffing!F47+Staffing!F60+Staffing!F65+Staffing!F84+Staffing!F90</f>
        <v>311421.2649999999</v>
      </c>
      <c r="R129" s="102">
        <f>P129-S129-T129-U129-V129-W129-X129-Y129-Z129-AB129-AC129-AA129</f>
        <v>311421.2649999999</v>
      </c>
      <c r="S129" s="85"/>
      <c r="T129" s="85"/>
      <c r="U129" s="85"/>
      <c r="Y129" s="85"/>
      <c r="AA129" s="85"/>
      <c r="AC129" s="85"/>
      <c r="AD129" s="85">
        <f t="shared" si="69"/>
        <v>311421.2649999999</v>
      </c>
      <c r="AE129" s="89">
        <f t="shared" si="70"/>
        <v>0</v>
      </c>
    </row>
    <row r="130" spans="3:31" ht="12.75" hidden="1" outlineLevel="1">
      <c r="C130" s="53" t="s">
        <v>244</v>
      </c>
      <c r="D130" s="98">
        <f>$P$130/12</f>
        <v>2226.9275</v>
      </c>
      <c r="E130" s="98">
        <f>$P$130/12</f>
        <v>2226.9275</v>
      </c>
      <c r="F130" s="98">
        <f aca="true" t="shared" si="72" ref="F130:O130">$P$130/12</f>
        <v>2226.9275</v>
      </c>
      <c r="G130" s="98">
        <f t="shared" si="72"/>
        <v>2226.9275</v>
      </c>
      <c r="H130" s="98">
        <f t="shared" si="72"/>
        <v>2226.9275</v>
      </c>
      <c r="I130" s="98">
        <f t="shared" si="72"/>
        <v>2226.9275</v>
      </c>
      <c r="J130" s="98">
        <f t="shared" si="72"/>
        <v>2226.9275</v>
      </c>
      <c r="K130" s="98">
        <f t="shared" si="72"/>
        <v>2226.9275</v>
      </c>
      <c r="L130" s="98">
        <f t="shared" si="72"/>
        <v>2226.9275</v>
      </c>
      <c r="M130" s="98">
        <f t="shared" si="72"/>
        <v>2226.9275</v>
      </c>
      <c r="N130" s="98">
        <f t="shared" si="72"/>
        <v>2226.9275</v>
      </c>
      <c r="O130" s="98">
        <f t="shared" si="72"/>
        <v>2226.9275</v>
      </c>
      <c r="P130" s="86">
        <f>Staffing!F79</f>
        <v>26723.129999999997</v>
      </c>
      <c r="R130" s="102">
        <f t="shared" si="68"/>
        <v>26723.129999999997</v>
      </c>
      <c r="S130" s="85"/>
      <c r="T130" s="85"/>
      <c r="U130" s="85"/>
      <c r="AB130" s="100"/>
      <c r="AC130" s="100"/>
      <c r="AD130" s="85">
        <f t="shared" si="69"/>
        <v>26723.129999999997</v>
      </c>
      <c r="AE130" s="89">
        <f t="shared" si="70"/>
        <v>0</v>
      </c>
    </row>
    <row r="131" spans="3:31" ht="12.75" hidden="1" outlineLevel="1">
      <c r="C131" s="53" t="s">
        <v>215</v>
      </c>
      <c r="D131" s="98">
        <f>$P$131/12</f>
        <v>2705.2083333333335</v>
      </c>
      <c r="E131" s="98">
        <f aca="true" t="shared" si="73" ref="E131:O131">$P$131/12</f>
        <v>2705.2083333333335</v>
      </c>
      <c r="F131" s="98">
        <f t="shared" si="73"/>
        <v>2705.2083333333335</v>
      </c>
      <c r="G131" s="98">
        <f t="shared" si="73"/>
        <v>2705.2083333333335</v>
      </c>
      <c r="H131" s="98">
        <f t="shared" si="73"/>
        <v>2705.2083333333335</v>
      </c>
      <c r="I131" s="98">
        <f t="shared" si="73"/>
        <v>2705.2083333333335</v>
      </c>
      <c r="J131" s="98">
        <f t="shared" si="73"/>
        <v>2705.2083333333335</v>
      </c>
      <c r="K131" s="98">
        <f t="shared" si="73"/>
        <v>2705.2083333333335</v>
      </c>
      <c r="L131" s="98">
        <f t="shared" si="73"/>
        <v>2705.2083333333335</v>
      </c>
      <c r="M131" s="98">
        <f t="shared" si="73"/>
        <v>2705.2083333333335</v>
      </c>
      <c r="N131" s="98">
        <f t="shared" si="73"/>
        <v>2705.2083333333335</v>
      </c>
      <c r="O131" s="98">
        <f t="shared" si="73"/>
        <v>2705.2083333333335</v>
      </c>
      <c r="P131" s="86">
        <f>Staffing!F94</f>
        <v>32462.5</v>
      </c>
      <c r="R131" s="102">
        <f t="shared" si="68"/>
        <v>32462.5</v>
      </c>
      <c r="AD131" s="85">
        <f t="shared" si="69"/>
        <v>32462.5</v>
      </c>
      <c r="AE131" s="89">
        <f t="shared" si="70"/>
        <v>0</v>
      </c>
    </row>
    <row r="132" spans="3:31" ht="12.75" hidden="1" outlineLevel="1">
      <c r="C132" s="53" t="s">
        <v>216</v>
      </c>
      <c r="D132" s="98">
        <f>$P$132/12</f>
        <v>2705.2083333333335</v>
      </c>
      <c r="E132" s="98">
        <f aca="true" t="shared" si="74" ref="E132:O132">$P$132/12</f>
        <v>2705.2083333333335</v>
      </c>
      <c r="F132" s="98">
        <f t="shared" si="74"/>
        <v>2705.2083333333335</v>
      </c>
      <c r="G132" s="98">
        <f t="shared" si="74"/>
        <v>2705.2083333333335</v>
      </c>
      <c r="H132" s="98">
        <f t="shared" si="74"/>
        <v>2705.2083333333335</v>
      </c>
      <c r="I132" s="98">
        <f t="shared" si="74"/>
        <v>2705.2083333333335</v>
      </c>
      <c r="J132" s="98">
        <f t="shared" si="74"/>
        <v>2705.2083333333335</v>
      </c>
      <c r="K132" s="98">
        <f t="shared" si="74"/>
        <v>2705.2083333333335</v>
      </c>
      <c r="L132" s="98">
        <f t="shared" si="74"/>
        <v>2705.2083333333335</v>
      </c>
      <c r="M132" s="98">
        <f t="shared" si="74"/>
        <v>2705.2083333333335</v>
      </c>
      <c r="N132" s="98">
        <f t="shared" si="74"/>
        <v>2705.2083333333335</v>
      </c>
      <c r="O132" s="98">
        <f t="shared" si="74"/>
        <v>2705.2083333333335</v>
      </c>
      <c r="P132" s="86">
        <f>Staffing!F115</f>
        <v>32462.5</v>
      </c>
      <c r="R132" s="102">
        <f t="shared" si="68"/>
        <v>32462.5</v>
      </c>
      <c r="AD132" s="85">
        <f t="shared" si="69"/>
        <v>32462.5</v>
      </c>
      <c r="AE132" s="89">
        <f t="shared" si="70"/>
        <v>0</v>
      </c>
    </row>
    <row r="133" spans="3:31" ht="12.75" hidden="1" outlineLevel="1">
      <c r="C133" s="53" t="s">
        <v>217</v>
      </c>
      <c r="D133" s="98">
        <f>$P$133/12</f>
        <v>1100.7033333333334</v>
      </c>
      <c r="E133" s="98">
        <f aca="true" t="shared" si="75" ref="E133:O133">$P$133/12</f>
        <v>1100.7033333333334</v>
      </c>
      <c r="F133" s="98">
        <f t="shared" si="75"/>
        <v>1100.7033333333334</v>
      </c>
      <c r="G133" s="98">
        <f t="shared" si="75"/>
        <v>1100.7033333333334</v>
      </c>
      <c r="H133" s="98">
        <f t="shared" si="75"/>
        <v>1100.7033333333334</v>
      </c>
      <c r="I133" s="98">
        <f t="shared" si="75"/>
        <v>1100.7033333333334</v>
      </c>
      <c r="J133" s="98">
        <f t="shared" si="75"/>
        <v>1100.7033333333334</v>
      </c>
      <c r="K133" s="98">
        <f t="shared" si="75"/>
        <v>1100.7033333333334</v>
      </c>
      <c r="L133" s="98">
        <f t="shared" si="75"/>
        <v>1100.7033333333334</v>
      </c>
      <c r="M133" s="98">
        <f t="shared" si="75"/>
        <v>1100.7033333333334</v>
      </c>
      <c r="N133" s="98">
        <f t="shared" si="75"/>
        <v>1100.7033333333334</v>
      </c>
      <c r="O133" s="98">
        <f t="shared" si="75"/>
        <v>1100.7033333333334</v>
      </c>
      <c r="P133" s="86">
        <f>Staffing!F93+Staffing!F96</f>
        <v>13208.44</v>
      </c>
      <c r="R133" s="102">
        <f t="shared" si="68"/>
        <v>13208.44</v>
      </c>
      <c r="AD133" s="85">
        <f t="shared" si="69"/>
        <v>13208.44</v>
      </c>
      <c r="AE133" s="89">
        <f t="shared" si="70"/>
        <v>0</v>
      </c>
    </row>
    <row r="134" spans="3:31" ht="12.75" hidden="1" outlineLevel="1">
      <c r="C134" s="53" t="s">
        <v>253</v>
      </c>
      <c r="D134" s="98">
        <f>$P$134/12</f>
        <v>0</v>
      </c>
      <c r="E134" s="98">
        <f aca="true" t="shared" si="76" ref="E134:O134">$P$134/12</f>
        <v>0</v>
      </c>
      <c r="F134" s="98">
        <f t="shared" si="76"/>
        <v>0</v>
      </c>
      <c r="G134" s="98">
        <f t="shared" si="76"/>
        <v>0</v>
      </c>
      <c r="H134" s="98">
        <f t="shared" si="76"/>
        <v>0</v>
      </c>
      <c r="I134" s="98">
        <f t="shared" si="76"/>
        <v>0</v>
      </c>
      <c r="J134" s="98">
        <f t="shared" si="76"/>
        <v>0</v>
      </c>
      <c r="K134" s="98">
        <f t="shared" si="76"/>
        <v>0</v>
      </c>
      <c r="L134" s="98">
        <f t="shared" si="76"/>
        <v>0</v>
      </c>
      <c r="M134" s="98">
        <f t="shared" si="76"/>
        <v>0</v>
      </c>
      <c r="N134" s="98">
        <f t="shared" si="76"/>
        <v>0</v>
      </c>
      <c r="O134" s="98">
        <f t="shared" si="76"/>
        <v>0</v>
      </c>
      <c r="P134" s="86"/>
      <c r="R134" s="102">
        <f t="shared" si="68"/>
        <v>0</v>
      </c>
      <c r="AD134" s="85">
        <f t="shared" si="69"/>
        <v>0</v>
      </c>
      <c r="AE134" s="89">
        <f t="shared" si="70"/>
        <v>0</v>
      </c>
    </row>
    <row r="135" spans="3:31" ht="12.75" hidden="1" outlineLevel="1">
      <c r="C135" s="53" t="s">
        <v>218</v>
      </c>
      <c r="D135" s="98">
        <f>$P$135/12</f>
        <v>0</v>
      </c>
      <c r="E135" s="98">
        <f aca="true" t="shared" si="77" ref="E135:O135">$P$135/12</f>
        <v>0</v>
      </c>
      <c r="F135" s="98">
        <f t="shared" si="77"/>
        <v>0</v>
      </c>
      <c r="G135" s="98">
        <f t="shared" si="77"/>
        <v>0</v>
      </c>
      <c r="H135" s="98">
        <f t="shared" si="77"/>
        <v>0</v>
      </c>
      <c r="I135" s="98">
        <f t="shared" si="77"/>
        <v>0</v>
      </c>
      <c r="J135" s="98">
        <f t="shared" si="77"/>
        <v>0</v>
      </c>
      <c r="K135" s="98">
        <f t="shared" si="77"/>
        <v>0</v>
      </c>
      <c r="L135" s="98">
        <f t="shared" si="77"/>
        <v>0</v>
      </c>
      <c r="M135" s="98">
        <f t="shared" si="77"/>
        <v>0</v>
      </c>
      <c r="N135" s="98">
        <f t="shared" si="77"/>
        <v>0</v>
      </c>
      <c r="O135" s="98">
        <f t="shared" si="77"/>
        <v>0</v>
      </c>
      <c r="P135" s="86"/>
      <c r="R135" s="102">
        <f t="shared" si="68"/>
        <v>0</v>
      </c>
      <c r="AD135" s="85">
        <f t="shared" si="69"/>
        <v>0</v>
      </c>
      <c r="AE135" s="89">
        <f t="shared" si="70"/>
        <v>0</v>
      </c>
    </row>
    <row r="136" spans="3:31" ht="12.75" hidden="1" outlineLevel="1">
      <c r="C136" s="53" t="s">
        <v>219</v>
      </c>
      <c r="D136" s="98">
        <f aca="true" t="shared" si="78" ref="D136:N136">$P$136/12</f>
        <v>0</v>
      </c>
      <c r="E136" s="98">
        <f t="shared" si="78"/>
        <v>0</v>
      </c>
      <c r="F136" s="98">
        <f t="shared" si="78"/>
        <v>0</v>
      </c>
      <c r="G136" s="98">
        <f t="shared" si="78"/>
        <v>0</v>
      </c>
      <c r="H136" s="98">
        <f t="shared" si="78"/>
        <v>0</v>
      </c>
      <c r="I136" s="98">
        <f t="shared" si="78"/>
        <v>0</v>
      </c>
      <c r="J136" s="98">
        <f t="shared" si="78"/>
        <v>0</v>
      </c>
      <c r="K136" s="98">
        <f t="shared" si="78"/>
        <v>0</v>
      </c>
      <c r="L136" s="98">
        <f t="shared" si="78"/>
        <v>0</v>
      </c>
      <c r="M136" s="98">
        <f t="shared" si="78"/>
        <v>0</v>
      </c>
      <c r="N136" s="98">
        <f t="shared" si="78"/>
        <v>0</v>
      </c>
      <c r="O136" s="98">
        <f>$P$136/12</f>
        <v>0</v>
      </c>
      <c r="P136" s="86">
        <f>Staffing!F104</f>
        <v>0</v>
      </c>
      <c r="R136" s="102">
        <f t="shared" si="68"/>
        <v>0</v>
      </c>
      <c r="AD136" s="85">
        <f t="shared" si="69"/>
        <v>0</v>
      </c>
      <c r="AE136" s="89">
        <f t="shared" si="70"/>
        <v>0</v>
      </c>
    </row>
    <row r="137" spans="3:31" ht="12.75" hidden="1" outlineLevel="1">
      <c r="C137" s="53" t="s">
        <v>220</v>
      </c>
      <c r="D137" s="98">
        <f aca="true" t="shared" si="79" ref="D137:N137">$P$137/12</f>
        <v>1163.3416666666667</v>
      </c>
      <c r="E137" s="98">
        <f t="shared" si="79"/>
        <v>1163.3416666666667</v>
      </c>
      <c r="F137" s="98">
        <f t="shared" si="79"/>
        <v>1163.3416666666667</v>
      </c>
      <c r="G137" s="98">
        <f t="shared" si="79"/>
        <v>1163.3416666666667</v>
      </c>
      <c r="H137" s="98">
        <f t="shared" si="79"/>
        <v>1163.3416666666667</v>
      </c>
      <c r="I137" s="98">
        <f t="shared" si="79"/>
        <v>1163.3416666666667</v>
      </c>
      <c r="J137" s="98">
        <f t="shared" si="79"/>
        <v>1163.3416666666667</v>
      </c>
      <c r="K137" s="98">
        <f t="shared" si="79"/>
        <v>1163.3416666666667</v>
      </c>
      <c r="L137" s="98">
        <f t="shared" si="79"/>
        <v>1163.3416666666667</v>
      </c>
      <c r="M137" s="98">
        <f t="shared" si="79"/>
        <v>1163.3416666666667</v>
      </c>
      <c r="N137" s="98">
        <f t="shared" si="79"/>
        <v>1163.3416666666667</v>
      </c>
      <c r="O137" s="98">
        <f>$P$137/12</f>
        <v>1163.3416666666667</v>
      </c>
      <c r="P137" s="86">
        <f>Staffing!F110</f>
        <v>13960.1</v>
      </c>
      <c r="R137" s="102">
        <f t="shared" si="68"/>
        <v>13960.1</v>
      </c>
      <c r="AD137" s="85">
        <f t="shared" si="69"/>
        <v>13960.1</v>
      </c>
      <c r="AE137" s="89">
        <f t="shared" si="70"/>
        <v>0</v>
      </c>
    </row>
    <row r="138" spans="3:31" ht="12.75" hidden="1" outlineLevel="1">
      <c r="C138" s="53" t="s">
        <v>221</v>
      </c>
      <c r="D138" s="98">
        <f>$P$138/12</f>
        <v>0</v>
      </c>
      <c r="E138" s="98">
        <f aca="true" t="shared" si="80" ref="E138:O138">$P$138/12</f>
        <v>0</v>
      </c>
      <c r="F138" s="98">
        <f t="shared" si="80"/>
        <v>0</v>
      </c>
      <c r="G138" s="98">
        <f t="shared" si="80"/>
        <v>0</v>
      </c>
      <c r="H138" s="98">
        <f t="shared" si="80"/>
        <v>0</v>
      </c>
      <c r="I138" s="98">
        <f t="shared" si="80"/>
        <v>0</v>
      </c>
      <c r="J138" s="98">
        <f t="shared" si="80"/>
        <v>0</v>
      </c>
      <c r="K138" s="98">
        <f t="shared" si="80"/>
        <v>0</v>
      </c>
      <c r="L138" s="98">
        <f t="shared" si="80"/>
        <v>0</v>
      </c>
      <c r="M138" s="98">
        <f t="shared" si="80"/>
        <v>0</v>
      </c>
      <c r="N138" s="98">
        <f t="shared" si="80"/>
        <v>0</v>
      </c>
      <c r="O138" s="98">
        <f t="shared" si="80"/>
        <v>0</v>
      </c>
      <c r="P138" s="86"/>
      <c r="R138" s="102">
        <f t="shared" si="68"/>
        <v>0</v>
      </c>
      <c r="S138" s="85"/>
      <c r="T138" s="85"/>
      <c r="U138" s="85"/>
      <c r="V138" s="85"/>
      <c r="AD138" s="85">
        <f t="shared" si="69"/>
        <v>0</v>
      </c>
      <c r="AE138" s="89">
        <f t="shared" si="70"/>
        <v>0</v>
      </c>
    </row>
    <row r="139" spans="3:31" ht="12.75" hidden="1" outlineLevel="1">
      <c r="C139" s="53" t="s">
        <v>222</v>
      </c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86"/>
      <c r="R139" s="102">
        <f t="shared" si="68"/>
        <v>0</v>
      </c>
      <c r="AD139" s="85">
        <f t="shared" si="69"/>
        <v>0</v>
      </c>
      <c r="AE139" s="89">
        <f t="shared" si="70"/>
        <v>0</v>
      </c>
    </row>
    <row r="140" spans="3:31" ht="12.75" hidden="1" outlineLevel="1">
      <c r="C140" s="53" t="s">
        <v>223</v>
      </c>
      <c r="D140" s="98">
        <f>$P$140/12</f>
        <v>1826.8833333333332</v>
      </c>
      <c r="E140" s="98">
        <f aca="true" t="shared" si="81" ref="E140:O140">$P$140/12</f>
        <v>1826.8833333333332</v>
      </c>
      <c r="F140" s="98">
        <f t="shared" si="81"/>
        <v>1826.8833333333332</v>
      </c>
      <c r="G140" s="98">
        <f t="shared" si="81"/>
        <v>1826.8833333333332</v>
      </c>
      <c r="H140" s="98">
        <f t="shared" si="81"/>
        <v>1826.8833333333332</v>
      </c>
      <c r="I140" s="98">
        <f t="shared" si="81"/>
        <v>1826.8833333333332</v>
      </c>
      <c r="J140" s="98">
        <f t="shared" si="81"/>
        <v>1826.8833333333332</v>
      </c>
      <c r="K140" s="98">
        <f t="shared" si="81"/>
        <v>1826.8833333333332</v>
      </c>
      <c r="L140" s="98">
        <f t="shared" si="81"/>
        <v>1826.8833333333332</v>
      </c>
      <c r="M140" s="98">
        <f t="shared" si="81"/>
        <v>1826.8833333333332</v>
      </c>
      <c r="N140" s="98">
        <f t="shared" si="81"/>
        <v>1826.8833333333332</v>
      </c>
      <c r="O140" s="98">
        <f t="shared" si="81"/>
        <v>1826.8833333333332</v>
      </c>
      <c r="P140" s="86">
        <f>Staffing!F101</f>
        <v>21922.6</v>
      </c>
      <c r="R140" s="102">
        <f t="shared" si="68"/>
        <v>21922.6</v>
      </c>
      <c r="AD140" s="85">
        <f t="shared" si="69"/>
        <v>21922.6</v>
      </c>
      <c r="AE140" s="89">
        <f t="shared" si="70"/>
        <v>0</v>
      </c>
    </row>
    <row r="141" spans="3:31" ht="12.75" hidden="1" outlineLevel="1">
      <c r="C141" s="53"/>
      <c r="D141" s="95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AE141" s="89"/>
    </row>
    <row r="142" spans="3:31" s="96" customFormat="1" ht="12.75" collapsed="1">
      <c r="C142" s="69" t="s">
        <v>224</v>
      </c>
      <c r="D142" s="93">
        <f>SUM(D127:D141)</f>
        <v>39658.95041666666</v>
      </c>
      <c r="E142" s="93">
        <f aca="true" t="shared" si="82" ref="E142:AD142">SUM(E127:E141)</f>
        <v>39658.95041666666</v>
      </c>
      <c r="F142" s="93">
        <f t="shared" si="82"/>
        <v>39658.95041666666</v>
      </c>
      <c r="G142" s="93">
        <f t="shared" si="82"/>
        <v>39658.95041666666</v>
      </c>
      <c r="H142" s="93">
        <f t="shared" si="82"/>
        <v>39658.95041666666</v>
      </c>
      <c r="I142" s="93">
        <f t="shared" si="82"/>
        <v>39658.95041666666</v>
      </c>
      <c r="J142" s="93">
        <f t="shared" si="82"/>
        <v>39658.95041666666</v>
      </c>
      <c r="K142" s="93">
        <f t="shared" si="82"/>
        <v>39658.95041666666</v>
      </c>
      <c r="L142" s="93">
        <f t="shared" si="82"/>
        <v>39658.95041666666</v>
      </c>
      <c r="M142" s="93">
        <f t="shared" si="82"/>
        <v>39658.95041666666</v>
      </c>
      <c r="N142" s="93">
        <f t="shared" si="82"/>
        <v>39658.95041666666</v>
      </c>
      <c r="O142" s="93">
        <f t="shared" si="82"/>
        <v>39658.95041666666</v>
      </c>
      <c r="P142" s="170">
        <f t="shared" si="82"/>
        <v>475907.40499999985</v>
      </c>
      <c r="Q142" s="93"/>
      <c r="R142" s="93">
        <f t="shared" si="82"/>
        <v>475907.40499999985</v>
      </c>
      <c r="S142" s="93">
        <f t="shared" si="82"/>
        <v>0</v>
      </c>
      <c r="T142" s="93">
        <f t="shared" si="82"/>
        <v>0</v>
      </c>
      <c r="U142" s="93">
        <f t="shared" si="82"/>
        <v>0</v>
      </c>
      <c r="V142" s="93">
        <f t="shared" si="82"/>
        <v>0</v>
      </c>
      <c r="W142" s="93">
        <f t="shared" si="82"/>
        <v>0</v>
      </c>
      <c r="X142" s="93">
        <f t="shared" si="82"/>
        <v>0</v>
      </c>
      <c r="Y142" s="93">
        <f t="shared" si="82"/>
        <v>0</v>
      </c>
      <c r="Z142" s="93">
        <f t="shared" si="82"/>
        <v>0</v>
      </c>
      <c r="AA142" s="93">
        <f t="shared" si="82"/>
        <v>0</v>
      </c>
      <c r="AB142" s="93">
        <f t="shared" si="82"/>
        <v>0</v>
      </c>
      <c r="AC142" s="93">
        <f t="shared" si="82"/>
        <v>0</v>
      </c>
      <c r="AD142" s="93">
        <f t="shared" si="82"/>
        <v>475907.40499999985</v>
      </c>
      <c r="AE142" s="89">
        <f t="shared" si="70"/>
        <v>0</v>
      </c>
    </row>
    <row r="143" spans="3:15" ht="9.75" customHeight="1">
      <c r="C143" s="64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</row>
    <row r="144" spans="2:15" ht="12.75" hidden="1" outlineLevel="1">
      <c r="B144" t="s">
        <v>469</v>
      </c>
      <c r="C144" s="64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</row>
    <row r="145" spans="3:31" ht="12.75" hidden="1" outlineLevel="1">
      <c r="C145" s="53" t="s">
        <v>225</v>
      </c>
      <c r="D145" s="86">
        <f>$P$145/3</f>
        <v>318.26666666666665</v>
      </c>
      <c r="E145" s="86">
        <f>$P$145/3</f>
        <v>318.26666666666665</v>
      </c>
      <c r="F145" s="86">
        <f>$P$145/3</f>
        <v>318.26666666666665</v>
      </c>
      <c r="G145" s="86"/>
      <c r="H145" s="86"/>
      <c r="I145" s="86"/>
      <c r="J145" s="86"/>
      <c r="K145" s="86"/>
      <c r="L145" s="86"/>
      <c r="M145" s="86"/>
      <c r="N145" s="86"/>
      <c r="O145" s="86"/>
      <c r="P145" s="98">
        <f>Staffing!M6</f>
        <v>954.8</v>
      </c>
      <c r="R145" s="102">
        <f aca="true" t="shared" si="83" ref="R145:R157">P145-S145-T145-U145-V145-W145-X145-Y145-Z145-AB145-AC145</f>
        <v>954.8</v>
      </c>
      <c r="AD145" s="85">
        <f aca="true" t="shared" si="84" ref="AD145:AD157">SUM(R145:AC145)</f>
        <v>954.8</v>
      </c>
      <c r="AE145" s="89">
        <f aca="true" t="shared" si="85" ref="AE145:AE159">P145-AD145</f>
        <v>0</v>
      </c>
    </row>
    <row r="146" spans="3:31" ht="12.75" hidden="1" outlineLevel="1">
      <c r="C146" s="53" t="s">
        <v>470</v>
      </c>
      <c r="D146" s="86">
        <f>$P$146/3</f>
        <v>4773.999999999999</v>
      </c>
      <c r="E146" s="86">
        <f>$P$146/3</f>
        <v>4773.999999999999</v>
      </c>
      <c r="F146" s="86">
        <f>$P$146/3</f>
        <v>4773.999999999999</v>
      </c>
      <c r="G146" s="86"/>
      <c r="H146" s="86"/>
      <c r="I146" s="86"/>
      <c r="J146" s="86"/>
      <c r="K146" s="86"/>
      <c r="L146" s="86"/>
      <c r="M146" s="86"/>
      <c r="N146" s="86"/>
      <c r="O146" s="86"/>
      <c r="P146" s="86">
        <f>Staffing!M29+Staffing!M47+Staffing!M60+Staffing!M65+Staffing!M84+Staffing!M90</f>
        <v>14321.999999999996</v>
      </c>
      <c r="R146" s="102">
        <f>P146-S146-T146-U146-V146-W146-X146-Y146-Z146-AB146-AC146-AA146</f>
        <v>14321.999999999996</v>
      </c>
      <c r="S146" s="85"/>
      <c r="T146" s="85"/>
      <c r="U146" s="85"/>
      <c r="Y146" s="85"/>
      <c r="AA146" s="85"/>
      <c r="AC146" s="85"/>
      <c r="AD146" s="85">
        <f t="shared" si="84"/>
        <v>14321.999999999996</v>
      </c>
      <c r="AE146" s="89">
        <f t="shared" si="85"/>
        <v>0</v>
      </c>
    </row>
    <row r="147" spans="3:31" ht="12.75" hidden="1" outlineLevel="1">
      <c r="C147" s="53" t="s">
        <v>471</v>
      </c>
      <c r="D147" s="86">
        <f>$P$147/3</f>
        <v>318.26666666666665</v>
      </c>
      <c r="E147" s="86">
        <f>$P$147/3</f>
        <v>318.26666666666665</v>
      </c>
      <c r="F147" s="86">
        <f>$P$147/3</f>
        <v>318.26666666666665</v>
      </c>
      <c r="G147" s="86"/>
      <c r="H147" s="86"/>
      <c r="I147" s="86"/>
      <c r="J147" s="86"/>
      <c r="K147" s="86"/>
      <c r="L147" s="86"/>
      <c r="M147" s="86"/>
      <c r="N147" s="86"/>
      <c r="O147" s="86"/>
      <c r="P147" s="86">
        <f>Staffing!M79</f>
        <v>954.8</v>
      </c>
      <c r="R147" s="102">
        <f t="shared" si="83"/>
        <v>954.8</v>
      </c>
      <c r="S147" s="100"/>
      <c r="X147" s="100"/>
      <c r="Y147" s="100"/>
      <c r="Z147" s="100"/>
      <c r="AA147" s="100"/>
      <c r="AB147" s="100"/>
      <c r="AC147" s="100"/>
      <c r="AD147" s="85">
        <f t="shared" si="84"/>
        <v>954.8</v>
      </c>
      <c r="AE147" s="89">
        <f t="shared" si="85"/>
        <v>0</v>
      </c>
    </row>
    <row r="148" spans="3:31" ht="12.75" hidden="1" outlineLevel="1">
      <c r="C148" s="53" t="s">
        <v>472</v>
      </c>
      <c r="D148" s="86">
        <f>P148/3</f>
        <v>159.13333333333333</v>
      </c>
      <c r="E148" s="86">
        <f>P148/3</f>
        <v>159.13333333333333</v>
      </c>
      <c r="F148" s="86">
        <f>P148/3</f>
        <v>159.13333333333333</v>
      </c>
      <c r="G148" s="86"/>
      <c r="H148" s="86"/>
      <c r="I148" s="86"/>
      <c r="J148" s="86"/>
      <c r="K148" s="86"/>
      <c r="L148" s="86"/>
      <c r="M148" s="86"/>
      <c r="N148" s="86"/>
      <c r="O148" s="86"/>
      <c r="P148" s="86">
        <f>Staffing!M94</f>
        <v>477.4</v>
      </c>
      <c r="R148" s="102">
        <f t="shared" si="83"/>
        <v>477.4</v>
      </c>
      <c r="AD148" s="85">
        <f t="shared" si="84"/>
        <v>477.4</v>
      </c>
      <c r="AE148" s="89">
        <f t="shared" si="85"/>
        <v>0</v>
      </c>
    </row>
    <row r="149" spans="3:31" ht="12.75" hidden="1" outlineLevel="1">
      <c r="C149" s="53" t="s">
        <v>473</v>
      </c>
      <c r="D149" s="86">
        <f>P149/3</f>
        <v>318.26666666666665</v>
      </c>
      <c r="E149" s="86">
        <f>P149/3</f>
        <v>318.26666666666665</v>
      </c>
      <c r="F149" s="86">
        <f>P149/3</f>
        <v>318.26666666666665</v>
      </c>
      <c r="G149" s="86"/>
      <c r="H149" s="86"/>
      <c r="I149" s="86"/>
      <c r="J149" s="86"/>
      <c r="K149" s="86"/>
      <c r="L149" s="86"/>
      <c r="M149" s="86"/>
      <c r="N149" s="86"/>
      <c r="O149" s="86"/>
      <c r="P149" s="86">
        <f>Staffing!M115</f>
        <v>954.8</v>
      </c>
      <c r="R149" s="102">
        <f t="shared" si="83"/>
        <v>954.8</v>
      </c>
      <c r="AD149" s="85">
        <f t="shared" si="84"/>
        <v>954.8</v>
      </c>
      <c r="AE149" s="89">
        <f t="shared" si="85"/>
        <v>0</v>
      </c>
    </row>
    <row r="150" spans="3:31" ht="12.75" hidden="1" outlineLevel="1">
      <c r="C150" s="53" t="s">
        <v>474</v>
      </c>
      <c r="D150" s="86">
        <f>P150/3</f>
        <v>318.26666666666665</v>
      </c>
      <c r="E150" s="86">
        <f>P150/3</f>
        <v>318.26666666666665</v>
      </c>
      <c r="F150" s="86">
        <f>P150/3</f>
        <v>318.26666666666665</v>
      </c>
      <c r="G150" s="86"/>
      <c r="H150" s="86"/>
      <c r="I150" s="86"/>
      <c r="J150" s="86"/>
      <c r="K150" s="86"/>
      <c r="L150" s="86"/>
      <c r="M150" s="86"/>
      <c r="N150" s="86"/>
      <c r="O150" s="86"/>
      <c r="P150" s="86">
        <f>Staffing!M93+Staffing!M96</f>
        <v>954.8</v>
      </c>
      <c r="R150" s="102">
        <f t="shared" si="83"/>
        <v>954.8</v>
      </c>
      <c r="AD150" s="85">
        <f t="shared" si="84"/>
        <v>954.8</v>
      </c>
      <c r="AE150" s="89">
        <f t="shared" si="85"/>
        <v>0</v>
      </c>
    </row>
    <row r="151" spans="3:31" ht="12.75" hidden="1" outlineLevel="1">
      <c r="C151" s="53" t="s">
        <v>254</v>
      </c>
      <c r="D151" s="86">
        <f>$P$151/3</f>
        <v>0</v>
      </c>
      <c r="E151" s="86">
        <f>$P$151/3</f>
        <v>0</v>
      </c>
      <c r="F151" s="86">
        <f>$P$151/3</f>
        <v>0</v>
      </c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R151" s="102">
        <f t="shared" si="83"/>
        <v>0</v>
      </c>
      <c r="AD151" s="85">
        <f t="shared" si="84"/>
        <v>0</v>
      </c>
      <c r="AE151" s="89">
        <f t="shared" si="85"/>
        <v>0</v>
      </c>
    </row>
    <row r="152" spans="3:31" ht="12.75" hidden="1" outlineLevel="1">
      <c r="C152" s="53" t="s">
        <v>475</v>
      </c>
      <c r="D152" s="86">
        <f>P152/3</f>
        <v>0</v>
      </c>
      <c r="E152" s="86">
        <f>P152/3</f>
        <v>0</v>
      </c>
      <c r="F152" s="86">
        <f>P152/3</f>
        <v>0</v>
      </c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R152" s="102">
        <f t="shared" si="83"/>
        <v>0</v>
      </c>
      <c r="AD152" s="85">
        <f t="shared" si="84"/>
        <v>0</v>
      </c>
      <c r="AE152" s="89">
        <f t="shared" si="85"/>
        <v>0</v>
      </c>
    </row>
    <row r="153" spans="3:31" ht="12.75" hidden="1" outlineLevel="1">
      <c r="C153" s="53" t="s">
        <v>476</v>
      </c>
      <c r="D153" s="86">
        <f>P153/3</f>
        <v>0</v>
      </c>
      <c r="E153" s="86">
        <f>P153/3</f>
        <v>0</v>
      </c>
      <c r="F153" s="86">
        <f>P153/3</f>
        <v>0</v>
      </c>
      <c r="G153" s="86"/>
      <c r="H153" s="86"/>
      <c r="I153" s="86"/>
      <c r="J153" s="86"/>
      <c r="K153" s="86"/>
      <c r="L153" s="86"/>
      <c r="M153" s="86"/>
      <c r="N153" s="86"/>
      <c r="O153" s="86"/>
      <c r="P153" s="86">
        <f>Staffing!M104</f>
        <v>0</v>
      </c>
      <c r="R153" s="102">
        <f t="shared" si="83"/>
        <v>0</v>
      </c>
      <c r="AD153" s="85">
        <f t="shared" si="84"/>
        <v>0</v>
      </c>
      <c r="AE153" s="89">
        <f t="shared" si="85"/>
        <v>0</v>
      </c>
    </row>
    <row r="154" spans="3:31" ht="12.75" hidden="1" outlineLevel="1">
      <c r="C154" s="53" t="s">
        <v>477</v>
      </c>
      <c r="D154" s="86">
        <f>P154/3</f>
        <v>159.13333333333333</v>
      </c>
      <c r="E154" s="86">
        <f>P154/3</f>
        <v>159.13333333333333</v>
      </c>
      <c r="F154" s="86">
        <f>P154/3</f>
        <v>159.13333333333333</v>
      </c>
      <c r="G154" s="86"/>
      <c r="H154" s="86"/>
      <c r="I154" s="86"/>
      <c r="J154" s="86"/>
      <c r="K154" s="86"/>
      <c r="L154" s="86"/>
      <c r="M154" s="86"/>
      <c r="N154" s="86"/>
      <c r="O154" s="86"/>
      <c r="P154" s="86">
        <f>Staffing!M110</f>
        <v>477.4</v>
      </c>
      <c r="R154" s="102">
        <f t="shared" si="83"/>
        <v>477.4</v>
      </c>
      <c r="AD154" s="85">
        <f t="shared" si="84"/>
        <v>477.4</v>
      </c>
      <c r="AE154" s="89">
        <f t="shared" si="85"/>
        <v>0</v>
      </c>
    </row>
    <row r="155" spans="3:31" ht="12.75" hidden="1" outlineLevel="1">
      <c r="C155" s="53" t="s">
        <v>478</v>
      </c>
      <c r="D155" s="86">
        <f>$P$155/3</f>
        <v>0</v>
      </c>
      <c r="E155" s="86">
        <f>$P$155/3</f>
        <v>0</v>
      </c>
      <c r="F155" s="86">
        <f>$P$155/3</f>
        <v>0</v>
      </c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R155" s="102">
        <f t="shared" si="83"/>
        <v>0</v>
      </c>
      <c r="S155" s="85"/>
      <c r="T155" s="85"/>
      <c r="U155" s="85"/>
      <c r="V155" s="85"/>
      <c r="AD155" s="85">
        <f t="shared" si="84"/>
        <v>0</v>
      </c>
      <c r="AE155" s="89">
        <f t="shared" si="85"/>
        <v>0</v>
      </c>
    </row>
    <row r="156" spans="3:31" ht="12.75" hidden="1" outlineLevel="1">
      <c r="C156" s="53" t="s">
        <v>479</v>
      </c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R156" s="102">
        <f t="shared" si="83"/>
        <v>0</v>
      </c>
      <c r="AD156" s="85">
        <f t="shared" si="84"/>
        <v>0</v>
      </c>
      <c r="AE156" s="89">
        <f t="shared" si="85"/>
        <v>0</v>
      </c>
    </row>
    <row r="157" spans="3:31" ht="12.75" hidden="1" outlineLevel="1">
      <c r="C157" s="53" t="s">
        <v>480</v>
      </c>
      <c r="D157" s="86">
        <f>P157/3</f>
        <v>159.13333333333333</v>
      </c>
      <c r="E157" s="86">
        <f>P157/3</f>
        <v>159.13333333333333</v>
      </c>
      <c r="F157" s="86">
        <f>P157/3</f>
        <v>159.13333333333333</v>
      </c>
      <c r="G157" s="86"/>
      <c r="H157" s="86"/>
      <c r="I157" s="86"/>
      <c r="J157" s="86"/>
      <c r="K157" s="86"/>
      <c r="L157" s="86"/>
      <c r="M157" s="86"/>
      <c r="N157" s="86"/>
      <c r="O157" s="86"/>
      <c r="P157" s="86">
        <f>Staffing!M101</f>
        <v>477.4</v>
      </c>
      <c r="R157" s="102">
        <f t="shared" si="83"/>
        <v>477.4</v>
      </c>
      <c r="AD157" s="85">
        <f t="shared" si="84"/>
        <v>477.4</v>
      </c>
      <c r="AE157" s="89">
        <f t="shared" si="85"/>
        <v>0</v>
      </c>
    </row>
    <row r="158" spans="3:31" ht="12.75" hidden="1" outlineLevel="1">
      <c r="C158" s="64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AE158" s="89"/>
    </row>
    <row r="159" spans="3:31" ht="12.75" collapsed="1">
      <c r="C159" s="64" t="s">
        <v>481</v>
      </c>
      <c r="D159" s="93">
        <f>SUM(D144:D158)</f>
        <v>6524.466666666664</v>
      </c>
      <c r="E159" s="93">
        <f aca="true" t="shared" si="86" ref="E159:AD159">SUM(E144:E158)</f>
        <v>6524.466666666664</v>
      </c>
      <c r="F159" s="93">
        <f t="shared" si="86"/>
        <v>6524.466666666664</v>
      </c>
      <c r="G159" s="93">
        <f t="shared" si="86"/>
        <v>0</v>
      </c>
      <c r="H159" s="93">
        <f t="shared" si="86"/>
        <v>0</v>
      </c>
      <c r="I159" s="93">
        <f t="shared" si="86"/>
        <v>0</v>
      </c>
      <c r="J159" s="93">
        <f t="shared" si="86"/>
        <v>0</v>
      </c>
      <c r="K159" s="93">
        <f t="shared" si="86"/>
        <v>0</v>
      </c>
      <c r="L159" s="93">
        <f t="shared" si="86"/>
        <v>0</v>
      </c>
      <c r="M159" s="93">
        <f t="shared" si="86"/>
        <v>0</v>
      </c>
      <c r="N159" s="93">
        <f t="shared" si="86"/>
        <v>0</v>
      </c>
      <c r="O159" s="93">
        <f t="shared" si="86"/>
        <v>0</v>
      </c>
      <c r="P159" s="170">
        <f t="shared" si="86"/>
        <v>19573.399999999998</v>
      </c>
      <c r="Q159" s="93"/>
      <c r="R159" s="93">
        <f t="shared" si="86"/>
        <v>19573.399999999998</v>
      </c>
      <c r="S159" s="93">
        <f t="shared" si="86"/>
        <v>0</v>
      </c>
      <c r="T159" s="93">
        <f t="shared" si="86"/>
        <v>0</v>
      </c>
      <c r="U159" s="93">
        <f t="shared" si="86"/>
        <v>0</v>
      </c>
      <c r="V159" s="93">
        <f t="shared" si="86"/>
        <v>0</v>
      </c>
      <c r="W159" s="93">
        <f t="shared" si="86"/>
        <v>0</v>
      </c>
      <c r="X159" s="93">
        <f t="shared" si="86"/>
        <v>0</v>
      </c>
      <c r="Y159" s="93">
        <f t="shared" si="86"/>
        <v>0</v>
      </c>
      <c r="Z159" s="93">
        <f t="shared" si="86"/>
        <v>0</v>
      </c>
      <c r="AA159" s="93">
        <f t="shared" si="86"/>
        <v>0</v>
      </c>
      <c r="AB159" s="93">
        <f t="shared" si="86"/>
        <v>0</v>
      </c>
      <c r="AC159" s="93">
        <f t="shared" si="86"/>
        <v>0</v>
      </c>
      <c r="AD159" s="93">
        <f t="shared" si="86"/>
        <v>19573.399999999998</v>
      </c>
      <c r="AE159" s="89">
        <f t="shared" si="85"/>
        <v>0</v>
      </c>
    </row>
    <row r="160" spans="3:15" ht="9.75" customHeight="1">
      <c r="C160" s="64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</row>
    <row r="161" spans="2:15" ht="12.75" hidden="1" outlineLevel="1">
      <c r="B161" t="s">
        <v>227</v>
      </c>
      <c r="C161" s="64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</row>
    <row r="162" spans="3:31" ht="12.75" hidden="1" outlineLevel="1">
      <c r="C162" s="53" t="s">
        <v>226</v>
      </c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232"/>
      <c r="R162" s="102">
        <f aca="true" t="shared" si="87" ref="R162:R174">P162-S162-T162-U162-V162-W162-X162-Y162-Z162-AB162-AC162</f>
        <v>0</v>
      </c>
      <c r="AD162" s="85">
        <f aca="true" t="shared" si="88" ref="AD162:AD174">SUM(R162:AC162)</f>
        <v>0</v>
      </c>
      <c r="AE162" s="89">
        <f aca="true" t="shared" si="89" ref="AE162:AE176">P162-AD162</f>
        <v>0</v>
      </c>
    </row>
    <row r="163" spans="3:31" ht="12.75" hidden="1" outlineLevel="1">
      <c r="C163" s="53" t="s">
        <v>228</v>
      </c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232"/>
      <c r="R163" s="102">
        <f>P163-S163-T163-U163-V163-W163-X163-Y163-Z163-AB163-AC163-AA163</f>
        <v>0</v>
      </c>
      <c r="S163" s="85"/>
      <c r="T163" s="85"/>
      <c r="U163" s="85"/>
      <c r="Y163" s="85"/>
      <c r="AA163" s="85"/>
      <c r="AC163" s="85"/>
      <c r="AD163" s="85">
        <f t="shared" si="88"/>
        <v>0</v>
      </c>
      <c r="AE163" s="89">
        <f t="shared" si="89"/>
        <v>0</v>
      </c>
    </row>
    <row r="164" spans="3:31" ht="12.75" hidden="1" outlineLevel="1">
      <c r="C164" s="53" t="s">
        <v>229</v>
      </c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232"/>
      <c r="R164" s="102">
        <f t="shared" si="87"/>
        <v>0</v>
      </c>
      <c r="S164" s="100"/>
      <c r="T164" s="99"/>
      <c r="AB164" s="100"/>
      <c r="AC164" s="100"/>
      <c r="AD164" s="85">
        <f t="shared" si="88"/>
        <v>0</v>
      </c>
      <c r="AE164" s="89">
        <f t="shared" si="89"/>
        <v>0</v>
      </c>
    </row>
    <row r="165" spans="3:31" ht="12.75" hidden="1" outlineLevel="1">
      <c r="C165" s="53" t="s">
        <v>230</v>
      </c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232"/>
      <c r="R165" s="102">
        <f t="shared" si="87"/>
        <v>0</v>
      </c>
      <c r="AD165" s="85">
        <f t="shared" si="88"/>
        <v>0</v>
      </c>
      <c r="AE165" s="89">
        <f t="shared" si="89"/>
        <v>0</v>
      </c>
    </row>
    <row r="166" spans="3:31" ht="12.75" hidden="1" outlineLevel="1">
      <c r="C166" s="53" t="s">
        <v>231</v>
      </c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232"/>
      <c r="R166" s="102">
        <f t="shared" si="87"/>
        <v>0</v>
      </c>
      <c r="AD166" s="85">
        <f t="shared" si="88"/>
        <v>0</v>
      </c>
      <c r="AE166" s="89">
        <f t="shared" si="89"/>
        <v>0</v>
      </c>
    </row>
    <row r="167" spans="3:31" ht="12.75" hidden="1" outlineLevel="1">
      <c r="C167" s="53" t="s">
        <v>232</v>
      </c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232"/>
      <c r="R167" s="102">
        <f t="shared" si="87"/>
        <v>0</v>
      </c>
      <c r="AD167" s="85">
        <f t="shared" si="88"/>
        <v>0</v>
      </c>
      <c r="AE167" s="89">
        <f t="shared" si="89"/>
        <v>0</v>
      </c>
    </row>
    <row r="168" spans="3:31" ht="12.75" hidden="1" outlineLevel="1">
      <c r="C168" s="53" t="s">
        <v>255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232"/>
      <c r="R168" s="102">
        <f t="shared" si="87"/>
        <v>0</v>
      </c>
      <c r="AD168" s="85"/>
      <c r="AE168" s="89"/>
    </row>
    <row r="169" spans="3:31" ht="12.75" hidden="1" outlineLevel="1">
      <c r="C169" s="53" t="s">
        <v>233</v>
      </c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232"/>
      <c r="R169" s="102">
        <f t="shared" si="87"/>
        <v>0</v>
      </c>
      <c r="AD169" s="85">
        <f t="shared" si="88"/>
        <v>0</v>
      </c>
      <c r="AE169" s="89">
        <f t="shared" si="89"/>
        <v>0</v>
      </c>
    </row>
    <row r="170" spans="3:31" ht="12.75" hidden="1" outlineLevel="1">
      <c r="C170" s="53" t="s">
        <v>234</v>
      </c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232"/>
      <c r="R170" s="102">
        <f t="shared" si="87"/>
        <v>0</v>
      </c>
      <c r="AD170" s="85">
        <f t="shared" si="88"/>
        <v>0</v>
      </c>
      <c r="AE170" s="89">
        <f t="shared" si="89"/>
        <v>0</v>
      </c>
    </row>
    <row r="171" spans="3:31" ht="12.75" hidden="1" outlineLevel="1">
      <c r="C171" s="53" t="s">
        <v>235</v>
      </c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232"/>
      <c r="R171" s="102">
        <f t="shared" si="87"/>
        <v>0</v>
      </c>
      <c r="AD171" s="85">
        <f t="shared" si="88"/>
        <v>0</v>
      </c>
      <c r="AE171" s="89">
        <f t="shared" si="89"/>
        <v>0</v>
      </c>
    </row>
    <row r="172" spans="3:31" ht="12.75" hidden="1" outlineLevel="1">
      <c r="C172" s="53" t="s">
        <v>236</v>
      </c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232"/>
      <c r="R172" s="102">
        <f t="shared" si="87"/>
        <v>0</v>
      </c>
      <c r="S172" s="85"/>
      <c r="T172" s="85"/>
      <c r="U172" s="85"/>
      <c r="V172" s="85"/>
      <c r="AD172" s="85">
        <f t="shared" si="88"/>
        <v>0</v>
      </c>
      <c r="AE172" s="89">
        <f t="shared" si="89"/>
        <v>0</v>
      </c>
    </row>
    <row r="173" spans="3:31" ht="12.75" hidden="1" outlineLevel="1">
      <c r="C173" s="53" t="s">
        <v>237</v>
      </c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232"/>
      <c r="R173" s="102">
        <f t="shared" si="87"/>
        <v>0</v>
      </c>
      <c r="AD173" s="85">
        <f t="shared" si="88"/>
        <v>0</v>
      </c>
      <c r="AE173" s="89">
        <f t="shared" si="89"/>
        <v>0</v>
      </c>
    </row>
    <row r="174" spans="3:31" ht="12.75" hidden="1" outlineLevel="1">
      <c r="C174" s="53" t="s">
        <v>238</v>
      </c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232"/>
      <c r="R174" s="102">
        <f t="shared" si="87"/>
        <v>0</v>
      </c>
      <c r="AD174" s="85">
        <f t="shared" si="88"/>
        <v>0</v>
      </c>
      <c r="AE174" s="89">
        <f t="shared" si="89"/>
        <v>0</v>
      </c>
    </row>
    <row r="175" spans="3:31" ht="12.75" hidden="1" outlineLevel="1">
      <c r="C175" s="64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AE175" s="89"/>
    </row>
    <row r="176" spans="1:31" ht="12.75" collapsed="1">
      <c r="A176" s="68"/>
      <c r="B176" s="69"/>
      <c r="C176" s="69" t="s">
        <v>239</v>
      </c>
      <c r="D176" s="93">
        <f>SUM(D161:D175)</f>
        <v>0</v>
      </c>
      <c r="E176" s="93">
        <f aca="true" t="shared" si="90" ref="E176:AD176">SUM(E161:E175)</f>
        <v>0</v>
      </c>
      <c r="F176" s="93">
        <f t="shared" si="90"/>
        <v>0</v>
      </c>
      <c r="G176" s="93">
        <f t="shared" si="90"/>
        <v>0</v>
      </c>
      <c r="H176" s="93">
        <f t="shared" si="90"/>
        <v>0</v>
      </c>
      <c r="I176" s="93">
        <f t="shared" si="90"/>
        <v>0</v>
      </c>
      <c r="J176" s="93">
        <f t="shared" si="90"/>
        <v>0</v>
      </c>
      <c r="K176" s="93">
        <f t="shared" si="90"/>
        <v>0</v>
      </c>
      <c r="L176" s="93">
        <f t="shared" si="90"/>
        <v>0</v>
      </c>
      <c r="M176" s="93">
        <f t="shared" si="90"/>
        <v>0</v>
      </c>
      <c r="N176" s="93">
        <f t="shared" si="90"/>
        <v>0</v>
      </c>
      <c r="O176" s="93">
        <f t="shared" si="90"/>
        <v>0</v>
      </c>
      <c r="P176" s="170">
        <f t="shared" si="90"/>
        <v>0</v>
      </c>
      <c r="Q176" s="93"/>
      <c r="R176" s="93">
        <f t="shared" si="90"/>
        <v>0</v>
      </c>
      <c r="S176" s="93">
        <f t="shared" si="90"/>
        <v>0</v>
      </c>
      <c r="T176" s="93">
        <f t="shared" si="90"/>
        <v>0</v>
      </c>
      <c r="U176" s="93">
        <f t="shared" si="90"/>
        <v>0</v>
      </c>
      <c r="V176" s="93">
        <f t="shared" si="90"/>
        <v>0</v>
      </c>
      <c r="W176" s="93">
        <f t="shared" si="90"/>
        <v>0</v>
      </c>
      <c r="X176" s="93">
        <f t="shared" si="90"/>
        <v>0</v>
      </c>
      <c r="Y176" s="93">
        <f t="shared" si="90"/>
        <v>0</v>
      </c>
      <c r="Z176" s="93">
        <f t="shared" si="90"/>
        <v>0</v>
      </c>
      <c r="AA176" s="93">
        <f t="shared" si="90"/>
        <v>0</v>
      </c>
      <c r="AB176" s="93">
        <f t="shared" si="90"/>
        <v>0</v>
      </c>
      <c r="AC176" s="93">
        <f t="shared" si="90"/>
        <v>0</v>
      </c>
      <c r="AD176" s="93">
        <f t="shared" si="90"/>
        <v>0</v>
      </c>
      <c r="AE176" s="89">
        <f t="shared" si="89"/>
        <v>0</v>
      </c>
    </row>
    <row r="177" spans="1:15" ht="9.75" customHeight="1">
      <c r="A177" s="53"/>
      <c r="B177" s="53"/>
      <c r="C177" s="53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</row>
    <row r="178" spans="1:31" ht="12.75" hidden="1" outlineLevel="1">
      <c r="A178" s="53"/>
      <c r="B178" s="70">
        <v>5112720</v>
      </c>
      <c r="C178" s="67" t="s">
        <v>482</v>
      </c>
      <c r="D178" s="86">
        <f>'Contract Summary'!E83</f>
        <v>0</v>
      </c>
      <c r="E178" s="86">
        <f>'Contract Summary'!F83</f>
        <v>39900</v>
      </c>
      <c r="F178" s="86">
        <f>'Contract Summary'!G83</f>
        <v>37800</v>
      </c>
      <c r="G178" s="86">
        <f>'Contract Summary'!H83</f>
        <v>46200</v>
      </c>
      <c r="H178" s="86">
        <f>'Contract Summary'!I83</f>
        <v>31500</v>
      </c>
      <c r="I178" s="86">
        <f>'Contract Summary'!J83</f>
        <v>31500</v>
      </c>
      <c r="J178" s="86">
        <f>'Contract Summary'!K83</f>
        <v>35700</v>
      </c>
      <c r="K178" s="86">
        <f>'Contract Summary'!L83</f>
        <v>29400</v>
      </c>
      <c r="L178" s="86">
        <f>'Contract Summary'!M83</f>
        <v>39900</v>
      </c>
      <c r="M178" s="86">
        <f>'Contract Summary'!N83</f>
        <v>31500</v>
      </c>
      <c r="N178" s="86">
        <f>'Contract Summary'!O83</f>
        <v>35700</v>
      </c>
      <c r="O178" s="86">
        <f>'Contract Summary'!P83</f>
        <v>18000</v>
      </c>
      <c r="P178" s="102">
        <f>SUM(D178:O178)</f>
        <v>377100</v>
      </c>
      <c r="R178" s="102">
        <f>P178-S178-T178-U178-V178-W178-X178-Y178-Z178-AB178-AC178</f>
        <v>377100</v>
      </c>
      <c r="AD178" s="85">
        <f>SUM(R178:AC178)</f>
        <v>377100</v>
      </c>
      <c r="AE178" s="89">
        <f aca="true" t="shared" si="91" ref="AE178:AE184">P178-AD178</f>
        <v>0</v>
      </c>
    </row>
    <row r="179" spans="1:31" ht="12.75" hidden="1" outlineLevel="1">
      <c r="A179" s="53"/>
      <c r="B179" s="70">
        <v>5112730</v>
      </c>
      <c r="C179" s="67" t="s">
        <v>483</v>
      </c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R179" s="102">
        <f>P179-S179-T179-U179-V179-W179-X179-Y179-Z179-AB179-AC179</f>
        <v>0</v>
      </c>
      <c r="AD179" s="85">
        <f>SUM(R179:AC179)</f>
        <v>0</v>
      </c>
      <c r="AE179" s="89">
        <f t="shared" si="91"/>
        <v>0</v>
      </c>
    </row>
    <row r="180" spans="1:31" ht="12.75" hidden="1" outlineLevel="1">
      <c r="A180" s="53"/>
      <c r="B180" s="70">
        <v>5122790</v>
      </c>
      <c r="C180" s="236" t="s">
        <v>484</v>
      </c>
      <c r="D180" s="86">
        <f>'Contract Summary'!E84</f>
        <v>0</v>
      </c>
      <c r="E180" s="86">
        <f>'Contract Summary'!F84</f>
        <v>0</v>
      </c>
      <c r="F180" s="86">
        <f>'Contract Summary'!G84</f>
        <v>10200</v>
      </c>
      <c r="G180" s="86">
        <f>'Contract Summary'!H84</f>
        <v>10200</v>
      </c>
      <c r="H180" s="86">
        <f>'Contract Summary'!I84</f>
        <v>6600</v>
      </c>
      <c r="I180" s="86">
        <f>'Contract Summary'!J84</f>
        <v>5400</v>
      </c>
      <c r="J180" s="86">
        <f>'Contract Summary'!K84</f>
        <v>8400</v>
      </c>
      <c r="K180" s="86">
        <f>'Contract Summary'!L84</f>
        <v>6000</v>
      </c>
      <c r="L180" s="86">
        <f>'Contract Summary'!M84</f>
        <v>9000</v>
      </c>
      <c r="M180" s="86">
        <f>'Contract Summary'!N84</f>
        <v>9000</v>
      </c>
      <c r="N180" s="86">
        <f>'Contract Summary'!O84</f>
        <v>0</v>
      </c>
      <c r="O180" s="86">
        <f>'Contract Summary'!P84</f>
        <v>0</v>
      </c>
      <c r="P180" s="102">
        <f>SUM(D180:O180)</f>
        <v>64800</v>
      </c>
      <c r="R180" s="102">
        <f>P180-S180-T180-U180-V180-W180-X180-Y180-Z180-AB180-AC180</f>
        <v>64800</v>
      </c>
      <c r="AD180" s="85">
        <f>SUM(R180:AC180)</f>
        <v>64800</v>
      </c>
      <c r="AE180" s="89">
        <f t="shared" si="91"/>
        <v>0</v>
      </c>
    </row>
    <row r="181" spans="1:15" ht="12.75" hidden="1" outlineLevel="1">
      <c r="A181" s="53"/>
      <c r="B181" s="53"/>
      <c r="C181" s="67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</row>
    <row r="182" spans="1:31" s="60" customFormat="1" ht="12.75" collapsed="1">
      <c r="A182" s="64"/>
      <c r="B182" s="64"/>
      <c r="C182" s="64" t="s">
        <v>485</v>
      </c>
      <c r="D182" s="82">
        <f aca="true" t="shared" si="92" ref="D182:P182">SUM(D178:D180)</f>
        <v>0</v>
      </c>
      <c r="E182" s="82">
        <f t="shared" si="92"/>
        <v>39900</v>
      </c>
      <c r="F182" s="82">
        <f t="shared" si="92"/>
        <v>48000</v>
      </c>
      <c r="G182" s="82">
        <f t="shared" si="92"/>
        <v>56400</v>
      </c>
      <c r="H182" s="82">
        <f t="shared" si="92"/>
        <v>38100</v>
      </c>
      <c r="I182" s="82">
        <f t="shared" si="92"/>
        <v>36900</v>
      </c>
      <c r="J182" s="82">
        <f t="shared" si="92"/>
        <v>44100</v>
      </c>
      <c r="K182" s="82">
        <f t="shared" si="92"/>
        <v>35400</v>
      </c>
      <c r="L182" s="82">
        <f t="shared" si="92"/>
        <v>48900</v>
      </c>
      <c r="M182" s="82">
        <f t="shared" si="92"/>
        <v>40500</v>
      </c>
      <c r="N182" s="82">
        <f t="shared" si="92"/>
        <v>35700</v>
      </c>
      <c r="O182" s="82">
        <f t="shared" si="92"/>
        <v>18000</v>
      </c>
      <c r="P182" s="170">
        <f t="shared" si="92"/>
        <v>441900</v>
      </c>
      <c r="Q182" s="82"/>
      <c r="R182" s="82">
        <f aca="true" t="shared" si="93" ref="R182:AD182">SUM(R178:R180)</f>
        <v>441900</v>
      </c>
      <c r="S182" s="82">
        <f t="shared" si="93"/>
        <v>0</v>
      </c>
      <c r="T182" s="82">
        <f t="shared" si="93"/>
        <v>0</v>
      </c>
      <c r="U182" s="82">
        <f t="shared" si="93"/>
        <v>0</v>
      </c>
      <c r="V182" s="82">
        <f t="shared" si="93"/>
        <v>0</v>
      </c>
      <c r="W182" s="82">
        <f t="shared" si="93"/>
        <v>0</v>
      </c>
      <c r="X182" s="82">
        <f t="shared" si="93"/>
        <v>0</v>
      </c>
      <c r="Y182" s="82">
        <f t="shared" si="93"/>
        <v>0</v>
      </c>
      <c r="Z182" s="82">
        <f t="shared" si="93"/>
        <v>0</v>
      </c>
      <c r="AA182" s="82">
        <f t="shared" si="93"/>
        <v>0</v>
      </c>
      <c r="AB182" s="82">
        <f t="shared" si="93"/>
        <v>0</v>
      </c>
      <c r="AC182" s="82">
        <f t="shared" si="93"/>
        <v>0</v>
      </c>
      <c r="AD182" s="82">
        <f t="shared" si="93"/>
        <v>441900</v>
      </c>
      <c r="AE182" s="91">
        <f t="shared" si="91"/>
        <v>0</v>
      </c>
    </row>
    <row r="183" spans="1:15" ht="9.75" customHeight="1">
      <c r="A183" s="53"/>
      <c r="B183" s="53"/>
      <c r="C183" s="53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</row>
    <row r="184" spans="1:31" s="60" customFormat="1" ht="12.75">
      <c r="A184" s="64"/>
      <c r="B184" s="74">
        <v>5402823</v>
      </c>
      <c r="C184" s="64" t="s">
        <v>354</v>
      </c>
      <c r="D184" s="82">
        <f>P184/3</f>
        <v>1666.6666666666667</v>
      </c>
      <c r="E184" s="82"/>
      <c r="F184" s="82"/>
      <c r="G184" s="82"/>
      <c r="H184" s="82"/>
      <c r="I184" s="82"/>
      <c r="J184" s="82"/>
      <c r="K184" s="82"/>
      <c r="L184" s="82"/>
      <c r="M184" s="82"/>
      <c r="N184" s="82">
        <f>P184/3</f>
        <v>1666.6666666666667</v>
      </c>
      <c r="O184" s="82">
        <f>P184/3</f>
        <v>1666.6666666666667</v>
      </c>
      <c r="P184" s="171">
        <v>5000</v>
      </c>
      <c r="R184" s="101">
        <f>P184-S184-V184-W184-X184-AC184</f>
        <v>5000</v>
      </c>
      <c r="S184" s="251">
        <v>0</v>
      </c>
      <c r="AD184" s="82">
        <f>SUM(R184:AC184)</f>
        <v>5000</v>
      </c>
      <c r="AE184" s="91">
        <f t="shared" si="91"/>
        <v>0</v>
      </c>
    </row>
    <row r="185" spans="1:15" ht="9.75" customHeight="1">
      <c r="A185" s="71"/>
      <c r="B185" s="67"/>
      <c r="C185" s="67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</row>
    <row r="186" spans="1:31" ht="12.75" hidden="1" outlineLevel="1">
      <c r="A186" s="71"/>
      <c r="B186" s="72" t="s">
        <v>355</v>
      </c>
      <c r="C186" s="67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R186" s="102">
        <f>P186-S186-T186-U186-V186-W186-X186-Y186-Z186-AB186-AC186</f>
        <v>0</v>
      </c>
      <c r="AD186" s="85">
        <f>SUM(R186:AC186)</f>
        <v>0</v>
      </c>
      <c r="AE186" s="89">
        <f aca="true" t="shared" si="94" ref="AE186:AE191">P186-AD186</f>
        <v>0</v>
      </c>
    </row>
    <row r="187" spans="1:31" ht="12.75" hidden="1" outlineLevel="1">
      <c r="A187" s="71"/>
      <c r="B187" s="67" t="s">
        <v>356</v>
      </c>
      <c r="C187" s="67" t="s">
        <v>357</v>
      </c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R187" s="102">
        <f>P187-S187-T187-U187-V187-W187-X187-Y187-Z187-AB187-AC187</f>
        <v>0</v>
      </c>
      <c r="AD187" s="85">
        <f>SUM(R187:AC187)</f>
        <v>0</v>
      </c>
      <c r="AE187" s="89">
        <f t="shared" si="94"/>
        <v>0</v>
      </c>
    </row>
    <row r="188" spans="1:31" ht="12.75" hidden="1" outlineLevel="1">
      <c r="A188" s="53"/>
      <c r="B188" s="53" t="s">
        <v>358</v>
      </c>
      <c r="C188" s="53" t="s">
        <v>246</v>
      </c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100"/>
      <c r="R188" s="102">
        <f>P188-S188-T188-U188-V188-W188-X188-Y188-Z188-AB188-AC188</f>
        <v>0</v>
      </c>
      <c r="AD188" s="85">
        <f>SUM(R188:AC188)</f>
        <v>0</v>
      </c>
      <c r="AE188" s="89">
        <f t="shared" si="94"/>
        <v>0</v>
      </c>
    </row>
    <row r="189" spans="1:31" ht="12.75" hidden="1" outlineLevel="1">
      <c r="A189" s="71"/>
      <c r="B189" s="72" t="s">
        <v>359</v>
      </c>
      <c r="C189" s="67" t="s">
        <v>360</v>
      </c>
      <c r="D189" s="86">
        <f>P189</f>
        <v>500</v>
      </c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5">
        <v>500</v>
      </c>
      <c r="R189" s="102">
        <f>P189-S189-T189-U189-V189-W189-X189-Y189-Z189-AB189-AC189</f>
        <v>500</v>
      </c>
      <c r="AD189" s="85">
        <f>SUM(R189:AC189)</f>
        <v>500</v>
      </c>
      <c r="AE189" s="89">
        <f t="shared" si="94"/>
        <v>0</v>
      </c>
    </row>
    <row r="190" spans="1:15" ht="12.75" hidden="1" outlineLevel="1">
      <c r="A190" s="71"/>
      <c r="B190" s="72"/>
      <c r="C190" s="67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</row>
    <row r="191" spans="1:31" s="60" customFormat="1" ht="12.75" collapsed="1">
      <c r="A191" s="63"/>
      <c r="B191" s="74"/>
      <c r="C191" s="64" t="s">
        <v>361</v>
      </c>
      <c r="D191" s="82">
        <f aca="true" t="shared" si="95" ref="D191:I191">SUM(D187:D190)</f>
        <v>500</v>
      </c>
      <c r="E191" s="82">
        <f t="shared" si="95"/>
        <v>0</v>
      </c>
      <c r="F191" s="82">
        <f t="shared" si="95"/>
        <v>0</v>
      </c>
      <c r="G191" s="82">
        <f t="shared" si="95"/>
        <v>0</v>
      </c>
      <c r="H191" s="82">
        <f t="shared" si="95"/>
        <v>0</v>
      </c>
      <c r="I191" s="82">
        <f t="shared" si="95"/>
        <v>0</v>
      </c>
      <c r="J191" s="82">
        <f aca="true" t="shared" si="96" ref="J191:AD191">SUM(J187:J190)</f>
        <v>0</v>
      </c>
      <c r="K191" s="82">
        <f t="shared" si="96"/>
        <v>0</v>
      </c>
      <c r="L191" s="82">
        <f t="shared" si="96"/>
        <v>0</v>
      </c>
      <c r="M191" s="82">
        <f t="shared" si="96"/>
        <v>0</v>
      </c>
      <c r="N191" s="82">
        <f t="shared" si="96"/>
        <v>0</v>
      </c>
      <c r="O191" s="82">
        <f t="shared" si="96"/>
        <v>0</v>
      </c>
      <c r="P191" s="170">
        <f t="shared" si="96"/>
        <v>500</v>
      </c>
      <c r="Q191" s="82"/>
      <c r="R191" s="82">
        <f t="shared" si="96"/>
        <v>500</v>
      </c>
      <c r="S191" s="82">
        <f t="shared" si="96"/>
        <v>0</v>
      </c>
      <c r="T191" s="82">
        <f t="shared" si="96"/>
        <v>0</v>
      </c>
      <c r="U191" s="82">
        <f t="shared" si="96"/>
        <v>0</v>
      </c>
      <c r="V191" s="82">
        <f t="shared" si="96"/>
        <v>0</v>
      </c>
      <c r="W191" s="82">
        <f t="shared" si="96"/>
        <v>0</v>
      </c>
      <c r="X191" s="82">
        <f t="shared" si="96"/>
        <v>0</v>
      </c>
      <c r="Y191" s="82">
        <f t="shared" si="96"/>
        <v>0</v>
      </c>
      <c r="Z191" s="82">
        <f t="shared" si="96"/>
        <v>0</v>
      </c>
      <c r="AA191" s="82">
        <f t="shared" si="96"/>
        <v>0</v>
      </c>
      <c r="AB191" s="82">
        <f t="shared" si="96"/>
        <v>0</v>
      </c>
      <c r="AC191" s="82">
        <f t="shared" si="96"/>
        <v>0</v>
      </c>
      <c r="AD191" s="82">
        <f t="shared" si="96"/>
        <v>500</v>
      </c>
      <c r="AE191" s="91">
        <f t="shared" si="94"/>
        <v>0</v>
      </c>
    </row>
    <row r="192" spans="2:15" ht="9.75" customHeight="1">
      <c r="B192" s="72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</row>
    <row r="193" spans="1:15" ht="12.75" hidden="1" outlineLevel="1">
      <c r="A193" s="71"/>
      <c r="B193" s="72" t="s">
        <v>362</v>
      </c>
      <c r="C193" s="6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</row>
    <row r="194" spans="1:31" ht="12.75" hidden="1" outlineLevel="1">
      <c r="A194" s="71"/>
      <c r="B194" s="72">
        <v>1100739</v>
      </c>
      <c r="C194" s="67" t="s">
        <v>363</v>
      </c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232"/>
      <c r="R194" s="102">
        <f aca="true" t="shared" si="97" ref="R194:R200">P194-S194-T194-U194-V194-W194-X194-Y194-Z194-AB194-AC194</f>
        <v>-52000</v>
      </c>
      <c r="S194" s="86">
        <v>52000</v>
      </c>
      <c r="AD194" s="85">
        <f aca="true" t="shared" si="98" ref="AD194:AD200">SUM(R194:AC194)</f>
        <v>0</v>
      </c>
      <c r="AE194" s="89">
        <f aca="true" t="shared" si="99" ref="AE194:AE202">P194-AD194</f>
        <v>0</v>
      </c>
    </row>
    <row r="195" spans="1:31" ht="12.75" hidden="1" outlineLevel="1">
      <c r="A195" s="71"/>
      <c r="B195" s="72">
        <v>1210739</v>
      </c>
      <c r="C195" s="67" t="s">
        <v>364</v>
      </c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238"/>
      <c r="R195" s="102">
        <f t="shared" si="97"/>
        <v>0</v>
      </c>
      <c r="AD195" s="85">
        <f t="shared" si="98"/>
        <v>0</v>
      </c>
      <c r="AE195" s="89">
        <f t="shared" si="99"/>
        <v>0</v>
      </c>
    </row>
    <row r="196" spans="1:31" ht="12.75" hidden="1" outlineLevel="1">
      <c r="A196" s="71"/>
      <c r="B196" s="72" t="s">
        <v>365</v>
      </c>
      <c r="C196" s="67" t="s">
        <v>366</v>
      </c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238"/>
      <c r="R196" s="102">
        <f t="shared" si="97"/>
        <v>0</v>
      </c>
      <c r="AD196" s="85">
        <f t="shared" si="98"/>
        <v>0</v>
      </c>
      <c r="AE196" s="89">
        <f t="shared" si="99"/>
        <v>0</v>
      </c>
    </row>
    <row r="197" spans="1:31" ht="12.75" hidden="1" outlineLevel="1">
      <c r="A197" s="71"/>
      <c r="B197" s="72"/>
      <c r="C197" s="67" t="s">
        <v>208</v>
      </c>
      <c r="D197" s="86"/>
      <c r="E197" s="232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232"/>
      <c r="R197" s="102">
        <f t="shared" si="97"/>
        <v>-76763</v>
      </c>
      <c r="Z197" s="183">
        <v>76763</v>
      </c>
      <c r="AD197" s="85">
        <f>SUM(R197:AC197)</f>
        <v>0</v>
      </c>
      <c r="AE197" s="89">
        <f>P197-AD197</f>
        <v>0</v>
      </c>
    </row>
    <row r="198" spans="1:31" ht="12.75" hidden="1" outlineLevel="1">
      <c r="A198" s="71"/>
      <c r="B198" s="72" t="s">
        <v>367</v>
      </c>
      <c r="C198" s="67" t="s">
        <v>368</v>
      </c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R198" s="102">
        <f t="shared" si="97"/>
        <v>0</v>
      </c>
      <c r="AD198" s="85">
        <f t="shared" si="98"/>
        <v>0</v>
      </c>
      <c r="AE198" s="89">
        <f t="shared" si="99"/>
        <v>0</v>
      </c>
    </row>
    <row r="199" spans="1:31" ht="12.75" hidden="1" outlineLevel="1">
      <c r="A199" s="71"/>
      <c r="B199" s="72">
        <v>2500739</v>
      </c>
      <c r="C199" s="67" t="s">
        <v>369</v>
      </c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R199" s="102">
        <f t="shared" si="97"/>
        <v>0</v>
      </c>
      <c r="AD199" s="85">
        <f t="shared" si="98"/>
        <v>0</v>
      </c>
      <c r="AE199" s="89">
        <f t="shared" si="99"/>
        <v>0</v>
      </c>
    </row>
    <row r="200" spans="1:31" ht="12.75" hidden="1" outlineLevel="1">
      <c r="A200" s="71"/>
      <c r="B200" s="72">
        <v>2800739</v>
      </c>
      <c r="C200" s="67" t="s">
        <v>370</v>
      </c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R200" s="102">
        <f t="shared" si="97"/>
        <v>0</v>
      </c>
      <c r="AD200" s="85">
        <f t="shared" si="98"/>
        <v>0</v>
      </c>
      <c r="AE200" s="89">
        <f t="shared" si="99"/>
        <v>0</v>
      </c>
    </row>
    <row r="201" spans="1:15" ht="12.75" hidden="1" outlineLevel="1">
      <c r="A201" s="53"/>
      <c r="B201" s="70"/>
      <c r="C201" s="53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</row>
    <row r="202" spans="1:31" s="60" customFormat="1" ht="12.75" collapsed="1">
      <c r="A202" s="73"/>
      <c r="B202" s="74"/>
      <c r="C202" s="64" t="s">
        <v>371</v>
      </c>
      <c r="D202" s="82">
        <f aca="true" t="shared" si="100" ref="D202:I202">SUM(D193:D201)</f>
        <v>0</v>
      </c>
      <c r="E202" s="82">
        <f t="shared" si="100"/>
        <v>0</v>
      </c>
      <c r="F202" s="82">
        <f t="shared" si="100"/>
        <v>0</v>
      </c>
      <c r="G202" s="82">
        <f t="shared" si="100"/>
        <v>0</v>
      </c>
      <c r="H202" s="82">
        <f t="shared" si="100"/>
        <v>0</v>
      </c>
      <c r="I202" s="82">
        <f t="shared" si="100"/>
        <v>0</v>
      </c>
      <c r="J202" s="82">
        <f aca="true" t="shared" si="101" ref="J202:AD202">SUM(J193:J201)</f>
        <v>0</v>
      </c>
      <c r="K202" s="82">
        <f t="shared" si="101"/>
        <v>0</v>
      </c>
      <c r="L202" s="82">
        <f t="shared" si="101"/>
        <v>0</v>
      </c>
      <c r="M202" s="82">
        <f t="shared" si="101"/>
        <v>0</v>
      </c>
      <c r="N202" s="82">
        <f t="shared" si="101"/>
        <v>0</v>
      </c>
      <c r="O202" s="82">
        <f t="shared" si="101"/>
        <v>0</v>
      </c>
      <c r="P202" s="170">
        <f t="shared" si="101"/>
        <v>0</v>
      </c>
      <c r="Q202" s="82"/>
      <c r="R202" s="82">
        <f t="shared" si="101"/>
        <v>-128763</v>
      </c>
      <c r="S202" s="82">
        <f t="shared" si="101"/>
        <v>52000</v>
      </c>
      <c r="T202" s="82">
        <f t="shared" si="101"/>
        <v>0</v>
      </c>
      <c r="U202" s="82">
        <f t="shared" si="101"/>
        <v>0</v>
      </c>
      <c r="V202" s="82">
        <f t="shared" si="101"/>
        <v>0</v>
      </c>
      <c r="W202" s="82">
        <f t="shared" si="101"/>
        <v>0</v>
      </c>
      <c r="X202" s="82">
        <f t="shared" si="101"/>
        <v>0</v>
      </c>
      <c r="Y202" s="82">
        <f t="shared" si="101"/>
        <v>0</v>
      </c>
      <c r="Z202" s="82">
        <f t="shared" si="101"/>
        <v>76763</v>
      </c>
      <c r="AA202" s="82">
        <f t="shared" si="101"/>
        <v>0</v>
      </c>
      <c r="AB202" s="82">
        <f t="shared" si="101"/>
        <v>0</v>
      </c>
      <c r="AC202" s="82">
        <f t="shared" si="101"/>
        <v>0</v>
      </c>
      <c r="AD202" s="82">
        <f t="shared" si="101"/>
        <v>0</v>
      </c>
      <c r="AE202" s="89">
        <f t="shared" si="99"/>
        <v>0</v>
      </c>
    </row>
    <row r="203" spans="1:15" ht="9.75" customHeight="1">
      <c r="A203" s="71"/>
      <c r="B203" s="72"/>
      <c r="C203" s="65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</row>
    <row r="204" spans="1:31" ht="12.75" hidden="1" outlineLevel="1">
      <c r="A204" s="75"/>
      <c r="B204" s="72" t="s">
        <v>372</v>
      </c>
      <c r="C204" s="65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R204" s="102">
        <f>P204-S204-T204-U204-V204-W204-X204-Y204-Z204-AB204-AC204</f>
        <v>0</v>
      </c>
      <c r="AD204" s="85">
        <f>SUM(R204:AC204)</f>
        <v>0</v>
      </c>
      <c r="AE204" s="89">
        <f aca="true" t="shared" si="102" ref="AE204:AE210">P204-AD204</f>
        <v>0</v>
      </c>
    </row>
    <row r="205" spans="1:31" ht="12.75" hidden="1" outlineLevel="1">
      <c r="A205" s="71"/>
      <c r="B205" s="72" t="s">
        <v>373</v>
      </c>
      <c r="C205" s="67" t="s">
        <v>374</v>
      </c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R205" s="102">
        <f>P205-S205-T205-U205-V205-W205-X205-Y205-Z205-AB205-AC205</f>
        <v>0</v>
      </c>
      <c r="AD205" s="85">
        <f>SUM(R205:AC205)</f>
        <v>0</v>
      </c>
      <c r="AE205" s="89">
        <f t="shared" si="102"/>
        <v>0</v>
      </c>
    </row>
    <row r="206" spans="1:31" ht="12.75" hidden="1" outlineLevel="1">
      <c r="A206" s="71"/>
      <c r="B206" s="72">
        <v>1200733</v>
      </c>
      <c r="C206" s="67" t="s">
        <v>375</v>
      </c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R206" s="102">
        <f>P206-S206-T206-U206-V206-W206-X206-Y206-Z206-AB206-AC206</f>
        <v>0</v>
      </c>
      <c r="AD206" s="85">
        <f>SUM(R206:AC206)</f>
        <v>0</v>
      </c>
      <c r="AE206" s="89">
        <f t="shared" si="102"/>
        <v>0</v>
      </c>
    </row>
    <row r="207" spans="1:31" ht="12.75" hidden="1" outlineLevel="1">
      <c r="A207" s="71"/>
      <c r="B207" s="72">
        <v>2490733</v>
      </c>
      <c r="C207" s="67" t="s">
        <v>376</v>
      </c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R207" s="102">
        <f>P207-S207-T207-U207-V207-W207-X207-Y207-Z207-AB207-AC207</f>
        <v>0</v>
      </c>
      <c r="AD207" s="85">
        <f>SUM(R207:AC207)</f>
        <v>0</v>
      </c>
      <c r="AE207" s="89">
        <f t="shared" si="102"/>
        <v>0</v>
      </c>
    </row>
    <row r="208" spans="1:31" ht="12.75" hidden="1" outlineLevel="1">
      <c r="A208" s="71"/>
      <c r="B208" s="72">
        <v>2800733</v>
      </c>
      <c r="C208" s="67" t="s">
        <v>377</v>
      </c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R208" s="102">
        <f>P208-S208-T208-U208-V208-W208-X208-Y208-Z208-AB208-AC208</f>
        <v>0</v>
      </c>
      <c r="AD208" s="85">
        <f>SUM(R208:AC208)</f>
        <v>0</v>
      </c>
      <c r="AE208" s="89">
        <f t="shared" si="102"/>
        <v>0</v>
      </c>
    </row>
    <row r="209" spans="1:15" ht="12.75" hidden="1" outlineLevel="1">
      <c r="A209" s="53"/>
      <c r="B209" s="70"/>
      <c r="C209" s="53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</row>
    <row r="210" spans="2:31" s="60" customFormat="1" ht="12.75" collapsed="1">
      <c r="B210" s="76"/>
      <c r="C210" s="64" t="s">
        <v>378</v>
      </c>
      <c r="D210" s="82">
        <f aca="true" t="shared" si="103" ref="D210:I210">SUM(D204:D209)</f>
        <v>0</v>
      </c>
      <c r="E210" s="82">
        <f t="shared" si="103"/>
        <v>0</v>
      </c>
      <c r="F210" s="82">
        <f t="shared" si="103"/>
        <v>0</v>
      </c>
      <c r="G210" s="82">
        <f t="shared" si="103"/>
        <v>0</v>
      </c>
      <c r="H210" s="82">
        <f t="shared" si="103"/>
        <v>0</v>
      </c>
      <c r="I210" s="82">
        <f t="shared" si="103"/>
        <v>0</v>
      </c>
      <c r="J210" s="82">
        <f aca="true" t="shared" si="104" ref="J210:AD210">SUM(J204:J209)</f>
        <v>0</v>
      </c>
      <c r="K210" s="82">
        <f t="shared" si="104"/>
        <v>0</v>
      </c>
      <c r="L210" s="82">
        <f t="shared" si="104"/>
        <v>0</v>
      </c>
      <c r="M210" s="82">
        <f t="shared" si="104"/>
        <v>0</v>
      </c>
      <c r="N210" s="82">
        <f t="shared" si="104"/>
        <v>0</v>
      </c>
      <c r="O210" s="82">
        <f t="shared" si="104"/>
        <v>0</v>
      </c>
      <c r="P210" s="82">
        <f t="shared" si="104"/>
        <v>0</v>
      </c>
      <c r="Q210" s="82"/>
      <c r="R210" s="82">
        <f t="shared" si="104"/>
        <v>0</v>
      </c>
      <c r="S210" s="82">
        <f t="shared" si="104"/>
        <v>0</v>
      </c>
      <c r="T210" s="82">
        <f t="shared" si="104"/>
        <v>0</v>
      </c>
      <c r="U210" s="82">
        <f t="shared" si="104"/>
        <v>0</v>
      </c>
      <c r="V210" s="82">
        <f t="shared" si="104"/>
        <v>0</v>
      </c>
      <c r="W210" s="82">
        <f t="shared" si="104"/>
        <v>0</v>
      </c>
      <c r="X210" s="82">
        <f t="shared" si="104"/>
        <v>0</v>
      </c>
      <c r="Y210" s="82">
        <f t="shared" si="104"/>
        <v>0</v>
      </c>
      <c r="Z210" s="82">
        <f t="shared" si="104"/>
        <v>0</v>
      </c>
      <c r="AA210" s="82">
        <f t="shared" si="104"/>
        <v>0</v>
      </c>
      <c r="AB210" s="82">
        <f t="shared" si="104"/>
        <v>0</v>
      </c>
      <c r="AC210" s="82">
        <f t="shared" si="104"/>
        <v>0</v>
      </c>
      <c r="AD210" s="82">
        <f t="shared" si="104"/>
        <v>0</v>
      </c>
      <c r="AE210" s="89">
        <f t="shared" si="102"/>
        <v>0</v>
      </c>
    </row>
    <row r="211" spans="1:15" ht="9.75" customHeight="1">
      <c r="A211" s="53"/>
      <c r="B211" s="70"/>
      <c r="C211" s="53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</row>
    <row r="212" spans="1:15" ht="12.75" hidden="1" outlineLevel="1">
      <c r="A212" s="53"/>
      <c r="B212" s="70" t="s">
        <v>379</v>
      </c>
      <c r="C212" s="53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</row>
    <row r="213" spans="1:31" ht="12.75" hidden="1" outlineLevel="1">
      <c r="A213" s="53"/>
      <c r="B213" s="70">
        <v>2311521</v>
      </c>
      <c r="C213" s="67" t="s">
        <v>380</v>
      </c>
      <c r="D213" s="232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238"/>
      <c r="R213" s="102">
        <f>P213-S213-T213-U213-V213-W213-X213-Y213-Z213-AB213-AC213</f>
        <v>0</v>
      </c>
      <c r="AD213" s="85">
        <f>SUM(R213:AC213)</f>
        <v>0</v>
      </c>
      <c r="AE213" s="89">
        <f aca="true" t="shared" si="105" ref="AE213:AE218">P213-AD213</f>
        <v>0</v>
      </c>
    </row>
    <row r="214" spans="1:31" ht="12.75" hidden="1" outlineLevel="1">
      <c r="A214" s="71"/>
      <c r="B214" s="72" t="s">
        <v>381</v>
      </c>
      <c r="C214" s="67" t="s">
        <v>382</v>
      </c>
      <c r="D214" s="232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238"/>
      <c r="R214" s="102">
        <f>P214-S214-T214-U214-V214-W214-X214-Y214-Z214-AB214-AC214</f>
        <v>0</v>
      </c>
      <c r="AD214" s="85">
        <f>SUM(R214:AC214)</f>
        <v>0</v>
      </c>
      <c r="AE214" s="89">
        <f t="shared" si="105"/>
        <v>0</v>
      </c>
    </row>
    <row r="215" spans="1:31" ht="12.75" hidden="1" outlineLevel="1">
      <c r="A215" s="71"/>
      <c r="B215" s="72">
        <v>2620521</v>
      </c>
      <c r="C215" s="67" t="s">
        <v>383</v>
      </c>
      <c r="D215" s="86">
        <f>P215</f>
        <v>30490</v>
      </c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>
        <v>30490</v>
      </c>
      <c r="R215" s="102">
        <f>P215-S215-T215-U215-V215-W215-X215-Y215-Z215-AB215-AC215</f>
        <v>30490</v>
      </c>
      <c r="AD215" s="85">
        <f>SUM(R215:AC215)</f>
        <v>30490</v>
      </c>
      <c r="AE215" s="89">
        <f t="shared" si="105"/>
        <v>0</v>
      </c>
    </row>
    <row r="216" spans="1:31" ht="12.75" hidden="1" outlineLevel="1">
      <c r="A216" s="71"/>
      <c r="B216" s="72">
        <v>2620522</v>
      </c>
      <c r="C216" s="67" t="s">
        <v>384</v>
      </c>
      <c r="D216" s="232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234"/>
      <c r="R216" s="102">
        <f>P216-S216-T216-U216-V216-W216-X216-Y216-Z216-AB216-AC216</f>
        <v>0</v>
      </c>
      <c r="AD216" s="85">
        <f>SUM(R216:AC216)</f>
        <v>0</v>
      </c>
      <c r="AE216" s="89">
        <f t="shared" si="105"/>
        <v>0</v>
      </c>
    </row>
    <row r="217" spans="1:15" ht="12.75" hidden="1" outlineLevel="1">
      <c r="A217" s="71"/>
      <c r="B217" s="72"/>
      <c r="C217" s="67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</row>
    <row r="218" spans="1:31" s="60" customFormat="1" ht="12.75" collapsed="1">
      <c r="A218" s="63"/>
      <c r="B218" s="74"/>
      <c r="C218" s="64" t="s">
        <v>385</v>
      </c>
      <c r="D218" s="82">
        <f aca="true" t="shared" si="106" ref="D218:I218">SUM(D213:D216)</f>
        <v>30490</v>
      </c>
      <c r="E218" s="82">
        <f t="shared" si="106"/>
        <v>0</v>
      </c>
      <c r="F218" s="82">
        <f t="shared" si="106"/>
        <v>0</v>
      </c>
      <c r="G218" s="82">
        <f t="shared" si="106"/>
        <v>0</v>
      </c>
      <c r="H218" s="82">
        <f t="shared" si="106"/>
        <v>0</v>
      </c>
      <c r="I218" s="82">
        <f t="shared" si="106"/>
        <v>0</v>
      </c>
      <c r="J218" s="82">
        <f aca="true" t="shared" si="107" ref="J218:AD218">SUM(J213:J216)</f>
        <v>0</v>
      </c>
      <c r="K218" s="82">
        <f t="shared" si="107"/>
        <v>0</v>
      </c>
      <c r="L218" s="82">
        <f t="shared" si="107"/>
        <v>0</v>
      </c>
      <c r="M218" s="82">
        <f t="shared" si="107"/>
        <v>0</v>
      </c>
      <c r="N218" s="82">
        <f t="shared" si="107"/>
        <v>0</v>
      </c>
      <c r="O218" s="82">
        <f t="shared" si="107"/>
        <v>0</v>
      </c>
      <c r="P218" s="170">
        <f t="shared" si="107"/>
        <v>30490</v>
      </c>
      <c r="Q218" s="82">
        <f t="shared" si="107"/>
        <v>0</v>
      </c>
      <c r="R218" s="82">
        <f t="shared" si="107"/>
        <v>30490</v>
      </c>
      <c r="S218" s="82">
        <f t="shared" si="107"/>
        <v>0</v>
      </c>
      <c r="T218" s="82">
        <f t="shared" si="107"/>
        <v>0</v>
      </c>
      <c r="U218" s="82">
        <f t="shared" si="107"/>
        <v>0</v>
      </c>
      <c r="V218" s="82">
        <f t="shared" si="107"/>
        <v>0</v>
      </c>
      <c r="W218" s="82">
        <f t="shared" si="107"/>
        <v>0</v>
      </c>
      <c r="X218" s="82">
        <f t="shared" si="107"/>
        <v>0</v>
      </c>
      <c r="Y218" s="82">
        <f t="shared" si="107"/>
        <v>0</v>
      </c>
      <c r="Z218" s="82">
        <f t="shared" si="107"/>
        <v>0</v>
      </c>
      <c r="AA218" s="82">
        <f t="shared" si="107"/>
        <v>0</v>
      </c>
      <c r="AB218" s="82">
        <f t="shared" si="107"/>
        <v>0</v>
      </c>
      <c r="AC218" s="82">
        <f t="shared" si="107"/>
        <v>0</v>
      </c>
      <c r="AD218" s="82">
        <f t="shared" si="107"/>
        <v>30490</v>
      </c>
      <c r="AE218" s="89">
        <f t="shared" si="105"/>
        <v>0</v>
      </c>
    </row>
    <row r="219" spans="1:15" ht="9.75" customHeight="1">
      <c r="A219" s="71"/>
      <c r="B219" s="77"/>
      <c r="C219" s="78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</row>
    <row r="220" spans="2:15" ht="12.75" hidden="1" outlineLevel="1">
      <c r="B220" s="72" t="s">
        <v>386</v>
      </c>
      <c r="C220" s="65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</row>
    <row r="221" spans="1:31" ht="12.75" hidden="1" outlineLevel="1">
      <c r="A221" s="71"/>
      <c r="B221" s="72" t="s">
        <v>387</v>
      </c>
      <c r="C221" s="67" t="s">
        <v>388</v>
      </c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R221" s="102">
        <f>P221-S221-T221-U221-V221-W221-X221-Y221-Z221-AB221-AC221</f>
        <v>0</v>
      </c>
      <c r="AD221" s="85">
        <f>SUM(R221:AC221)</f>
        <v>0</v>
      </c>
      <c r="AE221" s="89">
        <f aca="true" t="shared" si="108" ref="AE221:AE227">P221-AD221</f>
        <v>0</v>
      </c>
    </row>
    <row r="222" spans="1:31" ht="12.75" hidden="1" outlineLevel="1">
      <c r="A222" s="71"/>
      <c r="B222" s="72" t="s">
        <v>389</v>
      </c>
      <c r="C222" s="67" t="s">
        <v>390</v>
      </c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R222" s="102">
        <f>P222-S222-T222-U222-V222-W222-X222-Y222-Z222-AB222-AC222</f>
        <v>0</v>
      </c>
      <c r="AD222" s="85">
        <f>SUM(R222:AC222)</f>
        <v>0</v>
      </c>
      <c r="AE222" s="89">
        <f t="shared" si="108"/>
        <v>0</v>
      </c>
    </row>
    <row r="223" spans="1:31" ht="12.75" hidden="1" outlineLevel="1">
      <c r="A223" s="71"/>
      <c r="B223" s="72">
        <v>2510550</v>
      </c>
      <c r="C223" s="67" t="s">
        <v>391</v>
      </c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R223" s="102">
        <f>P223-S223-T223-U223-V223-W223-X223-Y223-Z223-AB223-AC223</f>
        <v>0</v>
      </c>
      <c r="AD223" s="85">
        <f>SUM(R223:AC223)</f>
        <v>0</v>
      </c>
      <c r="AE223" s="89">
        <f t="shared" si="108"/>
        <v>0</v>
      </c>
    </row>
    <row r="224" spans="1:31" ht="12.75" hidden="1" outlineLevel="1">
      <c r="A224" s="53"/>
      <c r="B224" s="70" t="s">
        <v>392</v>
      </c>
      <c r="C224" s="53" t="s">
        <v>393</v>
      </c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R224" s="102">
        <f>P224-S224-T224-U224-V224-W224-X224-Y224-Z224-AB224-AC224</f>
        <v>0</v>
      </c>
      <c r="AD224" s="85">
        <f>SUM(R224:AC224)</f>
        <v>0</v>
      </c>
      <c r="AE224" s="89">
        <f t="shared" si="108"/>
        <v>0</v>
      </c>
    </row>
    <row r="225" spans="1:31" ht="12.75" hidden="1" outlineLevel="1">
      <c r="A225" s="53"/>
      <c r="B225" s="70">
        <v>2832550</v>
      </c>
      <c r="C225" s="53" t="s">
        <v>394</v>
      </c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R225" s="102">
        <f>P225-S225-T225-U225-V225-W225-X225-Y225-Z225-AB225-AC225</f>
        <v>0</v>
      </c>
      <c r="AD225" s="85">
        <f>SUM(R225:AC225)</f>
        <v>0</v>
      </c>
      <c r="AE225" s="89">
        <f t="shared" si="108"/>
        <v>0</v>
      </c>
    </row>
    <row r="226" spans="1:15" ht="12.75" hidden="1" outlineLevel="1">
      <c r="A226" s="71"/>
      <c r="B226" s="77"/>
      <c r="C226" s="78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</row>
    <row r="227" spans="1:31" ht="12.75" collapsed="1">
      <c r="A227" s="68"/>
      <c r="B227" s="79"/>
      <c r="C227" s="64" t="s">
        <v>395</v>
      </c>
      <c r="D227" s="86">
        <f aca="true" t="shared" si="109" ref="D227:I227">SUM(D221:D226)</f>
        <v>0</v>
      </c>
      <c r="E227" s="86">
        <f t="shared" si="109"/>
        <v>0</v>
      </c>
      <c r="F227" s="86">
        <f t="shared" si="109"/>
        <v>0</v>
      </c>
      <c r="G227" s="86">
        <f t="shared" si="109"/>
        <v>0</v>
      </c>
      <c r="H227" s="86">
        <f t="shared" si="109"/>
        <v>0</v>
      </c>
      <c r="I227" s="86">
        <f t="shared" si="109"/>
        <v>0</v>
      </c>
      <c r="J227" s="86">
        <f aca="true" t="shared" si="110" ref="J227:AD227">SUM(J221:J226)</f>
        <v>0</v>
      </c>
      <c r="K227" s="86">
        <f t="shared" si="110"/>
        <v>0</v>
      </c>
      <c r="L227" s="86">
        <f t="shared" si="110"/>
        <v>0</v>
      </c>
      <c r="M227" s="86">
        <f t="shared" si="110"/>
        <v>0</v>
      </c>
      <c r="N227" s="86">
        <f t="shared" si="110"/>
        <v>0</v>
      </c>
      <c r="O227" s="86">
        <f t="shared" si="110"/>
        <v>0</v>
      </c>
      <c r="P227" s="86">
        <f t="shared" si="110"/>
        <v>0</v>
      </c>
      <c r="Q227" s="86">
        <f t="shared" si="110"/>
        <v>0</v>
      </c>
      <c r="R227" s="86">
        <f t="shared" si="110"/>
        <v>0</v>
      </c>
      <c r="S227" s="86">
        <f t="shared" si="110"/>
        <v>0</v>
      </c>
      <c r="T227" s="86">
        <f t="shared" si="110"/>
        <v>0</v>
      </c>
      <c r="U227" s="86">
        <f t="shared" si="110"/>
        <v>0</v>
      </c>
      <c r="V227" s="86">
        <f t="shared" si="110"/>
        <v>0</v>
      </c>
      <c r="W227" s="86">
        <f t="shared" si="110"/>
        <v>0</v>
      </c>
      <c r="X227" s="86">
        <f t="shared" si="110"/>
        <v>0</v>
      </c>
      <c r="Y227" s="86">
        <f t="shared" si="110"/>
        <v>0</v>
      </c>
      <c r="Z227" s="86">
        <f t="shared" si="110"/>
        <v>0</v>
      </c>
      <c r="AA227" s="86">
        <f t="shared" si="110"/>
        <v>0</v>
      </c>
      <c r="AB227" s="86">
        <f t="shared" si="110"/>
        <v>0</v>
      </c>
      <c r="AC227" s="86">
        <f t="shared" si="110"/>
        <v>0</v>
      </c>
      <c r="AD227" s="86">
        <f t="shared" si="110"/>
        <v>0</v>
      </c>
      <c r="AE227" s="89">
        <f t="shared" si="108"/>
        <v>0</v>
      </c>
    </row>
    <row r="228" spans="1:15" s="190" customFormat="1" ht="9.75" customHeight="1">
      <c r="A228" s="186"/>
      <c r="B228" s="187"/>
      <c r="C228" s="188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</row>
    <row r="229" spans="2:31" ht="12.75" hidden="1" outlineLevel="1">
      <c r="B229" s="72" t="s">
        <v>396</v>
      </c>
      <c r="C229" s="65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R229" s="102">
        <f aca="true" t="shared" si="111" ref="R229:R249">P229-S229-T229-U229-V229-W229-X229-Y229-Z229-AB229-AC229</f>
        <v>0</v>
      </c>
      <c r="AD229" s="85">
        <f>SUM(R229:AC229)</f>
        <v>0</v>
      </c>
      <c r="AE229" s="89">
        <f aca="true" t="shared" si="112" ref="AE229:AE251">P229-AD229</f>
        <v>0</v>
      </c>
    </row>
    <row r="230" spans="2:31" ht="12.75" hidden="1" outlineLevel="1">
      <c r="B230" s="72">
        <v>2841319</v>
      </c>
      <c r="C230" s="53" t="s">
        <v>250</v>
      </c>
      <c r="D230" s="86">
        <f>'Contract Summary'!E7+'Contract Summary'!E9+'Contract Summary'!E6</f>
        <v>3681.98</v>
      </c>
      <c r="E230" s="86">
        <f>'Contract Summary'!F7+'Contract Summary'!F9+'Contract Summary'!F6</f>
        <v>1081.98</v>
      </c>
      <c r="F230" s="86">
        <f>'Contract Summary'!G7+'Contract Summary'!G9+'Contract Summary'!G6</f>
        <v>1081.98</v>
      </c>
      <c r="G230" s="86">
        <f>'Contract Summary'!H7+'Contract Summary'!H9+'Contract Summary'!H6</f>
        <v>1081.98</v>
      </c>
      <c r="H230" s="86">
        <f>'Contract Summary'!I7+'Contract Summary'!I9+'Contract Summary'!I6</f>
        <v>1081.98</v>
      </c>
      <c r="I230" s="86">
        <f>'Contract Summary'!J7+'Contract Summary'!J9+'Contract Summary'!J6</f>
        <v>1081.98</v>
      </c>
      <c r="J230" s="86">
        <f>'Contract Summary'!K7+'Contract Summary'!K9+'Contract Summary'!K6</f>
        <v>108</v>
      </c>
      <c r="K230" s="86">
        <f>'Contract Summary'!L7+'Contract Summary'!L9+'Contract Summary'!L6</f>
        <v>108</v>
      </c>
      <c r="L230" s="86">
        <f>'Contract Summary'!M7+'Contract Summary'!M9+'Contract Summary'!M6</f>
        <v>108</v>
      </c>
      <c r="M230" s="86">
        <f>'Contract Summary'!N7+'Contract Summary'!N9+'Contract Summary'!N6</f>
        <v>108</v>
      </c>
      <c r="N230" s="86">
        <f>'Contract Summary'!O7+'Contract Summary'!O9+'Contract Summary'!O6</f>
        <v>108</v>
      </c>
      <c r="O230" s="86">
        <f>'Contract Summary'!P7+'Contract Summary'!P9+'Contract Summary'!P6</f>
        <v>108</v>
      </c>
      <c r="P230" s="172">
        <f>SUM(D230:O230)</f>
        <v>9739.88</v>
      </c>
      <c r="R230" s="102">
        <f t="shared" si="111"/>
        <v>9739.88</v>
      </c>
      <c r="AD230" s="85">
        <f>SUM(R230:AC230)</f>
        <v>9739.88</v>
      </c>
      <c r="AE230" s="89">
        <f t="shared" si="112"/>
        <v>0</v>
      </c>
    </row>
    <row r="231" spans="1:31" ht="12.75" hidden="1" outlineLevel="1">
      <c r="A231" s="71"/>
      <c r="B231" s="72" t="s">
        <v>397</v>
      </c>
      <c r="C231" s="67" t="s">
        <v>398</v>
      </c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R231" s="102">
        <f t="shared" si="111"/>
        <v>0</v>
      </c>
      <c r="AD231" s="85">
        <f aca="true" t="shared" si="113" ref="AD231:AD249">SUM(R231:AC231)</f>
        <v>0</v>
      </c>
      <c r="AE231" s="89">
        <f t="shared" si="112"/>
        <v>0</v>
      </c>
    </row>
    <row r="232" spans="1:32" ht="12.75" hidden="1" outlineLevel="1">
      <c r="A232" s="71"/>
      <c r="B232" s="70" t="s">
        <v>399</v>
      </c>
      <c r="C232" s="53" t="s">
        <v>400</v>
      </c>
      <c r="D232" s="86">
        <f>'Contract Summary'!E4</f>
        <v>0</v>
      </c>
      <c r="E232" s="86">
        <f>'Contract Summary'!F4</f>
        <v>8000</v>
      </c>
      <c r="F232" s="86">
        <f>'Contract Summary'!G4</f>
        <v>9000</v>
      </c>
      <c r="G232" s="86">
        <f>'Contract Summary'!H4</f>
        <v>4000</v>
      </c>
      <c r="H232" s="86">
        <f>'Contract Summary'!I4</f>
        <v>4000</v>
      </c>
      <c r="I232" s="86">
        <f>'Contract Summary'!J4</f>
        <v>4000</v>
      </c>
      <c r="J232" s="86">
        <f>'Contract Summary'!K4</f>
        <v>4000</v>
      </c>
      <c r="K232" s="86">
        <f>'Contract Summary'!L4</f>
        <v>4000</v>
      </c>
      <c r="L232" s="86">
        <f>'Contract Summary'!M4</f>
        <v>4000</v>
      </c>
      <c r="M232" s="86">
        <f>'Contract Summary'!N4</f>
        <v>4000</v>
      </c>
      <c r="N232" s="86">
        <f>'Contract Summary'!O4</f>
        <v>4000</v>
      </c>
      <c r="O232" s="86">
        <f>'Contract Summary'!P4</f>
        <v>0</v>
      </c>
      <c r="P232" s="173">
        <f>SUM(D232:O232)</f>
        <v>49000</v>
      </c>
      <c r="R232" s="102">
        <f t="shared" si="111"/>
        <v>49000</v>
      </c>
      <c r="AC232" s="100"/>
      <c r="AD232" s="85">
        <f t="shared" si="113"/>
        <v>49000</v>
      </c>
      <c r="AE232" s="89">
        <f t="shared" si="112"/>
        <v>0</v>
      </c>
      <c r="AF232" s="122"/>
    </row>
    <row r="233" spans="1:31" ht="12.75" hidden="1" outlineLevel="1">
      <c r="A233" s="71"/>
      <c r="B233" s="72" t="s">
        <v>401</v>
      </c>
      <c r="C233" s="67" t="s">
        <v>402</v>
      </c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174"/>
      <c r="R233" s="102">
        <f t="shared" si="111"/>
        <v>-35000</v>
      </c>
      <c r="U233" s="86">
        <v>35000</v>
      </c>
      <c r="V233" s="85"/>
      <c r="W233" s="85"/>
      <c r="AD233" s="85">
        <f t="shared" si="113"/>
        <v>0</v>
      </c>
      <c r="AE233" s="89">
        <f t="shared" si="112"/>
        <v>0</v>
      </c>
    </row>
    <row r="234" spans="1:31" ht="12.75" hidden="1" outlineLevel="1">
      <c r="A234" s="71"/>
      <c r="B234" s="72"/>
      <c r="C234" s="67" t="s">
        <v>403</v>
      </c>
      <c r="D234" s="86">
        <f>P234</f>
        <v>5000</v>
      </c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247">
        <v>5000</v>
      </c>
      <c r="R234" s="102">
        <f t="shared" si="111"/>
        <v>5000</v>
      </c>
      <c r="AD234" s="85">
        <f t="shared" si="113"/>
        <v>5000</v>
      </c>
      <c r="AE234" s="89">
        <f t="shared" si="112"/>
        <v>0</v>
      </c>
    </row>
    <row r="235" spans="1:31" ht="12.75" hidden="1" outlineLevel="1">
      <c r="A235" s="71"/>
      <c r="B235" s="72"/>
      <c r="C235" s="67" t="s">
        <v>404</v>
      </c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R235" s="102">
        <f t="shared" si="111"/>
        <v>0</v>
      </c>
      <c r="AD235" s="85">
        <f t="shared" si="113"/>
        <v>0</v>
      </c>
      <c r="AE235" s="89">
        <f aca="true" t="shared" si="114" ref="AE235:AE243">P235-AD235</f>
        <v>0</v>
      </c>
    </row>
    <row r="236" spans="1:31" ht="12.75" hidden="1" outlineLevel="1">
      <c r="A236" s="71"/>
      <c r="B236" s="72"/>
      <c r="C236" s="53" t="s">
        <v>123</v>
      </c>
      <c r="D236" s="86" t="e">
        <f>'Contract Summary'!#REF!</f>
        <v>#REF!</v>
      </c>
      <c r="E236" s="86" t="e">
        <f>'Contract Summary'!#REF!</f>
        <v>#REF!</v>
      </c>
      <c r="F236" s="86" t="e">
        <f>'Contract Summary'!#REF!</f>
        <v>#REF!</v>
      </c>
      <c r="G236" s="86" t="e">
        <f>'Contract Summary'!#REF!</f>
        <v>#REF!</v>
      </c>
      <c r="H236" s="86" t="e">
        <f>'Contract Summary'!#REF!</f>
        <v>#REF!</v>
      </c>
      <c r="I236" s="86" t="e">
        <f>'Contract Summary'!#REF!</f>
        <v>#REF!</v>
      </c>
      <c r="J236" s="86" t="e">
        <f>'Contract Summary'!#REF!</f>
        <v>#REF!</v>
      </c>
      <c r="K236" s="86" t="e">
        <f>'Contract Summary'!#REF!</f>
        <v>#REF!</v>
      </c>
      <c r="L236" s="86" t="e">
        <f>'Contract Summary'!#REF!</f>
        <v>#REF!</v>
      </c>
      <c r="M236" s="86" t="e">
        <f>'Contract Summary'!#REF!</f>
        <v>#REF!</v>
      </c>
      <c r="N236" s="86" t="e">
        <f>'Contract Summary'!#REF!</f>
        <v>#REF!</v>
      </c>
      <c r="O236" s="86" t="e">
        <f>'Contract Summary'!#REF!</f>
        <v>#REF!</v>
      </c>
      <c r="P236" s="89" t="e">
        <f>SUM(D236:O236)</f>
        <v>#REF!</v>
      </c>
      <c r="R236" s="102" t="e">
        <f t="shared" si="111"/>
        <v>#REF!</v>
      </c>
      <c r="AD236" s="85" t="e">
        <f t="shared" si="113"/>
        <v>#REF!</v>
      </c>
      <c r="AE236" s="89" t="e">
        <f t="shared" si="114"/>
        <v>#REF!</v>
      </c>
    </row>
    <row r="237" spans="1:31" ht="12.75" hidden="1" outlineLevel="1">
      <c r="A237" s="71"/>
      <c r="B237" s="72"/>
      <c r="C237" s="53" t="s">
        <v>64</v>
      </c>
      <c r="D237" s="86">
        <f>'Contract Summary'!E28</f>
        <v>0</v>
      </c>
      <c r="E237" s="86">
        <f>'Contract Summary'!F28</f>
        <v>0</v>
      </c>
      <c r="F237" s="86">
        <f>'Contract Summary'!G28</f>
        <v>0</v>
      </c>
      <c r="G237" s="86">
        <f>'Contract Summary'!H28</f>
        <v>8000</v>
      </c>
      <c r="H237" s="86">
        <f>'Contract Summary'!I28</f>
        <v>0</v>
      </c>
      <c r="I237" s="86">
        <f>'Contract Summary'!J28</f>
        <v>8000</v>
      </c>
      <c r="J237" s="86">
        <f>'Contract Summary'!K28</f>
        <v>0</v>
      </c>
      <c r="K237" s="86">
        <f>'Contract Summary'!L28</f>
        <v>0</v>
      </c>
      <c r="L237" s="86">
        <f>'Contract Summary'!M28</f>
        <v>9000</v>
      </c>
      <c r="M237" s="86">
        <f>'Contract Summary'!N28</f>
        <v>0</v>
      </c>
      <c r="N237" s="86">
        <f>'Contract Summary'!O28</f>
        <v>0</v>
      </c>
      <c r="O237" s="86">
        <f>'Contract Summary'!P28</f>
        <v>0</v>
      </c>
      <c r="P237" s="89">
        <f>SUM(D237:O237)</f>
        <v>25000</v>
      </c>
      <c r="R237" s="102">
        <f t="shared" si="111"/>
        <v>25000</v>
      </c>
      <c r="AD237" s="85">
        <f t="shared" si="113"/>
        <v>25000</v>
      </c>
      <c r="AE237" s="89">
        <f t="shared" si="114"/>
        <v>0</v>
      </c>
    </row>
    <row r="238" spans="1:31" ht="12.75" hidden="1" outlineLevel="1">
      <c r="A238" s="71"/>
      <c r="B238" s="72"/>
      <c r="C238" s="53" t="s">
        <v>30</v>
      </c>
      <c r="D238" s="86">
        <f>'Contract Summary'!E32</f>
        <v>5000</v>
      </c>
      <c r="E238" s="86">
        <f>'Contract Summary'!F32</f>
        <v>0</v>
      </c>
      <c r="F238" s="86">
        <f>'Contract Summary'!G32</f>
        <v>14210</v>
      </c>
      <c r="G238" s="86">
        <f>'Contract Summary'!H32</f>
        <v>0</v>
      </c>
      <c r="H238" s="86">
        <f>'Contract Summary'!I32</f>
        <v>9210</v>
      </c>
      <c r="I238" s="86">
        <f>'Contract Summary'!J32</f>
        <v>0</v>
      </c>
      <c r="J238" s="86">
        <f>'Contract Summary'!K32</f>
        <v>0</v>
      </c>
      <c r="K238" s="86">
        <f>'Contract Summary'!L32</f>
        <v>0</v>
      </c>
      <c r="L238" s="86">
        <f>'Contract Summary'!M32</f>
        <v>0</v>
      </c>
      <c r="M238" s="86">
        <f>'Contract Summary'!N32</f>
        <v>0</v>
      </c>
      <c r="N238" s="86">
        <f>'Contract Summary'!O32</f>
        <v>0</v>
      </c>
      <c r="O238" s="86">
        <f>'Contract Summary'!P32</f>
        <v>0</v>
      </c>
      <c r="P238" s="89">
        <f>SUM(D238:O238)</f>
        <v>28420</v>
      </c>
      <c r="R238" s="102">
        <f t="shared" si="111"/>
        <v>28420</v>
      </c>
      <c r="AD238" s="85">
        <f t="shared" si="113"/>
        <v>28420</v>
      </c>
      <c r="AE238" s="89">
        <f t="shared" si="114"/>
        <v>0</v>
      </c>
    </row>
    <row r="239" spans="1:31" ht="12.75" hidden="1" outlineLevel="1">
      <c r="A239" s="71"/>
      <c r="B239" s="72"/>
      <c r="C239" s="67" t="s">
        <v>200</v>
      </c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>
        <f>P239</f>
        <v>25000</v>
      </c>
      <c r="P239" s="232">
        <v>25000</v>
      </c>
      <c r="R239" s="102">
        <f t="shared" si="111"/>
        <v>0</v>
      </c>
      <c r="U239" s="86">
        <v>25000</v>
      </c>
      <c r="AD239" s="85">
        <f>SUM(R239:AC239)</f>
        <v>25000</v>
      </c>
      <c r="AE239" s="89">
        <f t="shared" si="114"/>
        <v>0</v>
      </c>
    </row>
    <row r="240" spans="1:31" ht="12.75" hidden="1" outlineLevel="1">
      <c r="A240" s="71"/>
      <c r="B240" s="72"/>
      <c r="C240" s="67" t="s">
        <v>201</v>
      </c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>
        <f>P240</f>
        <v>25000</v>
      </c>
      <c r="P240" s="232">
        <v>25000</v>
      </c>
      <c r="R240" s="102">
        <f t="shared" si="111"/>
        <v>0</v>
      </c>
      <c r="U240" s="86">
        <v>25000</v>
      </c>
      <c r="AD240" s="85">
        <f>SUM(R240:AC240)</f>
        <v>25000</v>
      </c>
      <c r="AE240" s="89">
        <f t="shared" si="114"/>
        <v>0</v>
      </c>
    </row>
    <row r="241" spans="1:31" ht="12.75" hidden="1" outlineLevel="1">
      <c r="A241" s="71"/>
      <c r="B241" s="72"/>
      <c r="C241" s="67" t="s">
        <v>203</v>
      </c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>
        <f>P241</f>
        <v>19376</v>
      </c>
      <c r="P241" s="232">
        <v>19376</v>
      </c>
      <c r="R241" s="102">
        <f t="shared" si="111"/>
        <v>0</v>
      </c>
      <c r="Y241">
        <v>19376</v>
      </c>
      <c r="AD241" s="85">
        <f>SUM(R241:AC241)</f>
        <v>19376</v>
      </c>
      <c r="AE241" s="89">
        <f t="shared" si="114"/>
        <v>0</v>
      </c>
    </row>
    <row r="242" spans="1:31" ht="12.75" hidden="1" outlineLevel="1">
      <c r="A242" s="71"/>
      <c r="B242" s="72"/>
      <c r="C242" s="67" t="s">
        <v>210</v>
      </c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>
        <f>P242</f>
        <v>37000</v>
      </c>
      <c r="P242" s="232">
        <v>37000</v>
      </c>
      <c r="R242" s="102">
        <f t="shared" si="111"/>
        <v>0</v>
      </c>
      <c r="Z242">
        <v>37000</v>
      </c>
      <c r="AD242" s="85">
        <f>SUM(R242:AC242)</f>
        <v>37000</v>
      </c>
      <c r="AE242" s="89">
        <f t="shared" si="114"/>
        <v>0</v>
      </c>
    </row>
    <row r="243" spans="1:31" ht="12.75" hidden="1" outlineLevel="1">
      <c r="A243" s="71"/>
      <c r="B243" s="72">
        <v>2311300</v>
      </c>
      <c r="C243" s="67" t="s">
        <v>164</v>
      </c>
      <c r="D243" s="86"/>
      <c r="E243" s="86"/>
      <c r="F243" s="86">
        <f>P243</f>
        <v>1200</v>
      </c>
      <c r="G243" s="86"/>
      <c r="H243" s="86"/>
      <c r="I243" s="86"/>
      <c r="J243" s="86"/>
      <c r="K243" s="86"/>
      <c r="L243" s="86"/>
      <c r="M243" s="86"/>
      <c r="N243" s="86"/>
      <c r="O243" s="86"/>
      <c r="P243" s="247">
        <v>1200</v>
      </c>
      <c r="R243" s="102">
        <f t="shared" si="111"/>
        <v>1200</v>
      </c>
      <c r="AD243" s="85">
        <f>SUM(R243:AC243)</f>
        <v>1200</v>
      </c>
      <c r="AE243" s="89">
        <f t="shared" si="114"/>
        <v>0</v>
      </c>
    </row>
    <row r="244" spans="1:31" ht="12.75" hidden="1" outlineLevel="1">
      <c r="A244" s="71"/>
      <c r="B244" s="70" t="s">
        <v>407</v>
      </c>
      <c r="C244" s="53" t="s">
        <v>408</v>
      </c>
      <c r="D244" s="86">
        <f>'Contract Summary'!E22+'Contract Summary'!E24</f>
        <v>200</v>
      </c>
      <c r="E244" s="86">
        <f>'Contract Summary'!F22+'Contract Summary'!F24</f>
        <v>10200</v>
      </c>
      <c r="F244" s="86">
        <f>'Contract Summary'!G22+'Contract Summary'!G24</f>
        <v>8200</v>
      </c>
      <c r="G244" s="86">
        <f>'Contract Summary'!H22+'Contract Summary'!H24</f>
        <v>200</v>
      </c>
      <c r="H244" s="86">
        <f>'Contract Summary'!I22+'Contract Summary'!I24</f>
        <v>200</v>
      </c>
      <c r="I244" s="86">
        <f>'Contract Summary'!J22+'Contract Summary'!J24</f>
        <v>200</v>
      </c>
      <c r="J244" s="86">
        <f>'Contract Summary'!K22+'Contract Summary'!K24</f>
        <v>200</v>
      </c>
      <c r="K244" s="86">
        <f>'Contract Summary'!L22+'Contract Summary'!L24</f>
        <v>200</v>
      </c>
      <c r="L244" s="86">
        <f>'Contract Summary'!M22+'Contract Summary'!M24</f>
        <v>200</v>
      </c>
      <c r="M244" s="86">
        <f>'Contract Summary'!N22+'Contract Summary'!N24</f>
        <v>200</v>
      </c>
      <c r="N244" s="86">
        <f>'Contract Summary'!O22+'Contract Summary'!O24</f>
        <v>200</v>
      </c>
      <c r="O244" s="86">
        <f>'Contract Summary'!P22+'Contract Summary'!P24</f>
        <v>200</v>
      </c>
      <c r="P244" s="172">
        <f>SUM(D244:O244)</f>
        <v>20400</v>
      </c>
      <c r="R244" s="102">
        <f t="shared" si="111"/>
        <v>20400</v>
      </c>
      <c r="AD244" s="85">
        <f t="shared" si="113"/>
        <v>20400</v>
      </c>
      <c r="AE244" s="89">
        <f t="shared" si="112"/>
        <v>0</v>
      </c>
    </row>
    <row r="245" spans="1:31" ht="12.75" hidden="1" outlineLevel="1">
      <c r="A245" s="71"/>
      <c r="B245" s="72" t="s">
        <v>405</v>
      </c>
      <c r="C245" s="53" t="s">
        <v>406</v>
      </c>
      <c r="D245" s="86">
        <f>'Contract Summary'!E19+'Contract Summary'!E20</f>
        <v>770</v>
      </c>
      <c r="E245" s="86">
        <f>'Contract Summary'!F19+'Contract Summary'!F20</f>
        <v>770</v>
      </c>
      <c r="F245" s="86">
        <f>'Contract Summary'!G19+'Contract Summary'!G20</f>
        <v>770</v>
      </c>
      <c r="G245" s="86">
        <f>'Contract Summary'!H19+'Contract Summary'!H20</f>
        <v>770</v>
      </c>
      <c r="H245" s="86">
        <f>'Contract Summary'!I19+'Contract Summary'!I20</f>
        <v>770</v>
      </c>
      <c r="I245" s="86">
        <f>'Contract Summary'!J19+'Contract Summary'!J20</f>
        <v>770</v>
      </c>
      <c r="J245" s="86">
        <f>'Contract Summary'!K19+'Contract Summary'!K20</f>
        <v>770</v>
      </c>
      <c r="K245" s="86">
        <f>'Contract Summary'!L19+'Contract Summary'!L20</f>
        <v>770</v>
      </c>
      <c r="L245" s="86">
        <f>'Contract Summary'!M19+'Contract Summary'!M20</f>
        <v>770</v>
      </c>
      <c r="M245" s="86">
        <f>'Contract Summary'!N19+'Contract Summary'!N20</f>
        <v>770</v>
      </c>
      <c r="N245" s="86">
        <f>'Contract Summary'!O19+'Contract Summary'!O20</f>
        <v>770</v>
      </c>
      <c r="O245" s="86">
        <f>'Contract Summary'!P19+'Contract Summary'!P20</f>
        <v>770</v>
      </c>
      <c r="P245" s="172">
        <f>SUM(D245:O245)</f>
        <v>9240</v>
      </c>
      <c r="R245" s="102">
        <f t="shared" si="111"/>
        <v>9240</v>
      </c>
      <c r="AD245" s="85">
        <f t="shared" si="113"/>
        <v>9240</v>
      </c>
      <c r="AE245" s="89">
        <f t="shared" si="112"/>
        <v>0</v>
      </c>
    </row>
    <row r="246" spans="1:31" ht="12.75" hidden="1" outlineLevel="1">
      <c r="A246" s="71"/>
      <c r="B246" s="70">
        <v>2311332</v>
      </c>
      <c r="C246" s="53" t="s">
        <v>566</v>
      </c>
      <c r="D246" s="86">
        <f>'Contract Summary'!E13</f>
        <v>2000</v>
      </c>
      <c r="E246" s="86">
        <f>'Contract Summary'!F13</f>
        <v>2000</v>
      </c>
      <c r="F246" s="86">
        <f>'Contract Summary'!G13</f>
        <v>2000</v>
      </c>
      <c r="G246" s="86">
        <f>'Contract Summary'!H13</f>
        <v>2000</v>
      </c>
      <c r="H246" s="86">
        <f>'Contract Summary'!I13</f>
        <v>2000</v>
      </c>
      <c r="I246" s="86">
        <f>'Contract Summary'!J13</f>
        <v>2000</v>
      </c>
      <c r="J246" s="86">
        <f>'Contract Summary'!K13</f>
        <v>2000</v>
      </c>
      <c r="K246" s="86">
        <f>'Contract Summary'!L13</f>
        <v>2000</v>
      </c>
      <c r="L246" s="86">
        <f>'Contract Summary'!M13</f>
        <v>2000</v>
      </c>
      <c r="M246" s="86">
        <f>'Contract Summary'!N13</f>
        <v>2000</v>
      </c>
      <c r="N246" s="86">
        <f>'Contract Summary'!O13</f>
        <v>2000</v>
      </c>
      <c r="O246" s="86">
        <f>'Contract Summary'!P13</f>
        <v>2000</v>
      </c>
      <c r="P246" s="172">
        <f>SUM(D246:O246)</f>
        <v>24000</v>
      </c>
      <c r="R246" s="102">
        <f t="shared" si="111"/>
        <v>24000</v>
      </c>
      <c r="AD246" s="85">
        <f t="shared" si="113"/>
        <v>24000</v>
      </c>
      <c r="AE246" s="89">
        <f t="shared" si="112"/>
        <v>0</v>
      </c>
    </row>
    <row r="247" spans="1:31" ht="12.75" hidden="1" outlineLevel="1">
      <c r="A247" s="53"/>
      <c r="B247" s="70" t="s">
        <v>409</v>
      </c>
      <c r="C247" s="53" t="s">
        <v>410</v>
      </c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R247" s="102">
        <f t="shared" si="111"/>
        <v>0</v>
      </c>
      <c r="AD247" s="85">
        <f t="shared" si="113"/>
        <v>0</v>
      </c>
      <c r="AE247" s="89">
        <f t="shared" si="112"/>
        <v>0</v>
      </c>
    </row>
    <row r="248" spans="1:31" ht="12.75" hidden="1" outlineLevel="1">
      <c r="A248" s="71"/>
      <c r="B248" s="72" t="s">
        <v>411</v>
      </c>
      <c r="C248" s="67" t="s">
        <v>412</v>
      </c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5"/>
      <c r="R248" s="102">
        <f t="shared" si="111"/>
        <v>0</v>
      </c>
      <c r="AD248" s="85">
        <f t="shared" si="113"/>
        <v>0</v>
      </c>
      <c r="AE248" s="89">
        <f t="shared" si="112"/>
        <v>0</v>
      </c>
    </row>
    <row r="249" spans="1:31" ht="12.75" hidden="1" outlineLevel="1">
      <c r="A249" s="71"/>
      <c r="B249" s="72">
        <v>3210340</v>
      </c>
      <c r="C249" s="67" t="s">
        <v>257</v>
      </c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102"/>
      <c r="R249" s="102">
        <f t="shared" si="111"/>
        <v>0</v>
      </c>
      <c r="AD249" s="85">
        <f t="shared" si="113"/>
        <v>0</v>
      </c>
      <c r="AE249" s="89">
        <f t="shared" si="112"/>
        <v>0</v>
      </c>
    </row>
    <row r="250" spans="1:31" ht="12.75" hidden="1" outlineLevel="1">
      <c r="A250" s="80"/>
      <c r="B250" s="81"/>
      <c r="C250" s="80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AE250" s="89"/>
    </row>
    <row r="251" spans="1:31" s="60" customFormat="1" ht="12.75" collapsed="1">
      <c r="A251" s="82"/>
      <c r="B251" s="83"/>
      <c r="C251" s="64" t="s">
        <v>413</v>
      </c>
      <c r="D251" s="82" t="e">
        <f>SUM(D229:D250)</f>
        <v>#REF!</v>
      </c>
      <c r="E251" s="82" t="e">
        <f aca="true" t="shared" si="115" ref="E251:O251">SUM(E229:E250)</f>
        <v>#REF!</v>
      </c>
      <c r="F251" s="82" t="e">
        <f t="shared" si="115"/>
        <v>#REF!</v>
      </c>
      <c r="G251" s="82" t="e">
        <f t="shared" si="115"/>
        <v>#REF!</v>
      </c>
      <c r="H251" s="82" t="e">
        <f t="shared" si="115"/>
        <v>#REF!</v>
      </c>
      <c r="I251" s="82" t="e">
        <f t="shared" si="115"/>
        <v>#REF!</v>
      </c>
      <c r="J251" s="82" t="e">
        <f t="shared" si="115"/>
        <v>#REF!</v>
      </c>
      <c r="K251" s="82" t="e">
        <f t="shared" si="115"/>
        <v>#REF!</v>
      </c>
      <c r="L251" s="82" t="e">
        <f t="shared" si="115"/>
        <v>#REF!</v>
      </c>
      <c r="M251" s="82" t="e">
        <f t="shared" si="115"/>
        <v>#REF!</v>
      </c>
      <c r="N251" s="82" t="e">
        <f t="shared" si="115"/>
        <v>#REF!</v>
      </c>
      <c r="O251" s="82" t="e">
        <f t="shared" si="115"/>
        <v>#REF!</v>
      </c>
      <c r="P251" s="170" t="e">
        <f>SUM(P229:P250)</f>
        <v>#REF!</v>
      </c>
      <c r="Q251" s="82"/>
      <c r="R251" s="82" t="e">
        <f aca="true" t="shared" si="116" ref="R251:AD251">SUM(R229:R250)</f>
        <v>#REF!</v>
      </c>
      <c r="S251" s="82">
        <f t="shared" si="116"/>
        <v>0</v>
      </c>
      <c r="T251" s="82">
        <f t="shared" si="116"/>
        <v>0</v>
      </c>
      <c r="U251" s="82">
        <f t="shared" si="116"/>
        <v>85000</v>
      </c>
      <c r="V251" s="82">
        <f t="shared" si="116"/>
        <v>0</v>
      </c>
      <c r="W251" s="82">
        <f t="shared" si="116"/>
        <v>0</v>
      </c>
      <c r="X251" s="82">
        <f t="shared" si="116"/>
        <v>0</v>
      </c>
      <c r="Y251" s="82">
        <f t="shared" si="116"/>
        <v>19376</v>
      </c>
      <c r="Z251" s="82">
        <f t="shared" si="116"/>
        <v>37000</v>
      </c>
      <c r="AA251" s="82">
        <f t="shared" si="116"/>
        <v>0</v>
      </c>
      <c r="AB251" s="82">
        <f t="shared" si="116"/>
        <v>0</v>
      </c>
      <c r="AC251" s="82">
        <f t="shared" si="116"/>
        <v>0</v>
      </c>
      <c r="AD251" s="82" t="e">
        <f t="shared" si="116"/>
        <v>#REF!</v>
      </c>
      <c r="AE251" s="89" t="e">
        <f t="shared" si="112"/>
        <v>#REF!</v>
      </c>
    </row>
    <row r="252" spans="1:15" s="190" customFormat="1" ht="9.75" customHeight="1">
      <c r="A252" s="191"/>
      <c r="B252" s="192"/>
      <c r="C252" s="191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</row>
    <row r="253" spans="1:31" ht="12.75" hidden="1" outlineLevel="1">
      <c r="A253" s="4"/>
      <c r="B253" s="70" t="s">
        <v>414</v>
      </c>
      <c r="C253" s="57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R253" s="102">
        <f aca="true" t="shared" si="117" ref="R253:R263">P253-S253-T253-U253-V253-W253-X253-Y253-Z253-AB253-AC253</f>
        <v>0</v>
      </c>
      <c r="AD253" s="85">
        <f aca="true" t="shared" si="118" ref="AD253:AD263">SUM(R253:AC253)</f>
        <v>0</v>
      </c>
      <c r="AE253" s="89">
        <f aca="true" t="shared" si="119" ref="AE253:AE272">P253-AD253</f>
        <v>0</v>
      </c>
    </row>
    <row r="254" spans="1:31" ht="12.75" hidden="1" outlineLevel="1">
      <c r="A254" s="53"/>
      <c r="B254" s="70" t="s">
        <v>415</v>
      </c>
      <c r="C254" s="53" t="s">
        <v>416</v>
      </c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175">
        <f>SUM(D254:O254)</f>
        <v>0</v>
      </c>
      <c r="R254" s="102">
        <f t="shared" si="117"/>
        <v>0</v>
      </c>
      <c r="AD254" s="85">
        <f t="shared" si="118"/>
        <v>0</v>
      </c>
      <c r="AE254" s="89">
        <f t="shared" si="119"/>
        <v>0</v>
      </c>
    </row>
    <row r="255" spans="1:31" ht="12.75" hidden="1" outlineLevel="1">
      <c r="A255" s="53"/>
      <c r="B255" s="70" t="s">
        <v>417</v>
      </c>
      <c r="C255" s="53" t="s">
        <v>418</v>
      </c>
      <c r="D255" s="86">
        <f>'Contract Summary'!E56</f>
        <v>285</v>
      </c>
      <c r="E255" s="86">
        <f>'Contract Summary'!F56</f>
        <v>285</v>
      </c>
      <c r="F255" s="86">
        <f>'Contract Summary'!G56</f>
        <v>285</v>
      </c>
      <c r="G255" s="86">
        <f>'Contract Summary'!H56</f>
        <v>285</v>
      </c>
      <c r="H255" s="86">
        <f>'Contract Summary'!I56</f>
        <v>285</v>
      </c>
      <c r="I255" s="86">
        <f>'Contract Summary'!J56</f>
        <v>285</v>
      </c>
      <c r="J255" s="86">
        <f>'Contract Summary'!K56</f>
        <v>285</v>
      </c>
      <c r="K255" s="86">
        <f>'Contract Summary'!L56</f>
        <v>285</v>
      </c>
      <c r="L255" s="86">
        <f>'Contract Summary'!M56</f>
        <v>285</v>
      </c>
      <c r="M255" s="86">
        <f>'Contract Summary'!N56</f>
        <v>285</v>
      </c>
      <c r="N255" s="86">
        <f>'Contract Summary'!O56</f>
        <v>285</v>
      </c>
      <c r="O255" s="86">
        <f>'Contract Summary'!P56</f>
        <v>285</v>
      </c>
      <c r="P255" s="175">
        <f>SUM(D255:O255)</f>
        <v>3420</v>
      </c>
      <c r="R255" s="102">
        <f t="shared" si="117"/>
        <v>3420</v>
      </c>
      <c r="AD255" s="85">
        <f t="shared" si="118"/>
        <v>3420</v>
      </c>
      <c r="AE255" s="89">
        <f t="shared" si="119"/>
        <v>0</v>
      </c>
    </row>
    <row r="256" spans="1:31" ht="12.75" hidden="1" outlineLevel="1">
      <c r="A256" s="53"/>
      <c r="B256" s="70" t="s">
        <v>419</v>
      </c>
      <c r="C256" s="53" t="s">
        <v>420</v>
      </c>
      <c r="D256" s="86">
        <f>'Contract Summary'!E46</f>
        <v>10000</v>
      </c>
      <c r="E256" s="86">
        <f>'Contract Summary'!F46</f>
        <v>10000</v>
      </c>
      <c r="F256" s="86">
        <f>'Contract Summary'!G46</f>
        <v>10000</v>
      </c>
      <c r="G256" s="86">
        <f>'Contract Summary'!H46</f>
        <v>10000</v>
      </c>
      <c r="H256" s="86">
        <f>'Contract Summary'!I46</f>
        <v>10000</v>
      </c>
      <c r="I256" s="86">
        <f>'Contract Summary'!J46</f>
        <v>10000</v>
      </c>
      <c r="J256" s="86">
        <f>'Contract Summary'!K46</f>
        <v>10000</v>
      </c>
      <c r="K256" s="86">
        <f>'Contract Summary'!L46</f>
        <v>10000</v>
      </c>
      <c r="L256" s="86">
        <f>'Contract Summary'!M46</f>
        <v>10000</v>
      </c>
      <c r="M256" s="86">
        <f>'Contract Summary'!N46</f>
        <v>10000</v>
      </c>
      <c r="N256" s="86">
        <f>'Contract Summary'!O46</f>
        <v>10000</v>
      </c>
      <c r="O256" s="86">
        <f>'Contract Summary'!P46</f>
        <v>10000</v>
      </c>
      <c r="P256" s="175">
        <f>SUM(D256:O256)</f>
        <v>120000</v>
      </c>
      <c r="R256" s="102">
        <f t="shared" si="117"/>
        <v>120000</v>
      </c>
      <c r="AD256" s="85">
        <f t="shared" si="118"/>
        <v>120000</v>
      </c>
      <c r="AE256" s="89">
        <f t="shared" si="119"/>
        <v>0</v>
      </c>
    </row>
    <row r="257" spans="1:31" ht="12.75" hidden="1" outlineLevel="1">
      <c r="A257" s="53"/>
      <c r="B257" s="70" t="s">
        <v>421</v>
      </c>
      <c r="C257" s="53" t="s">
        <v>422</v>
      </c>
      <c r="D257" s="86">
        <f>'Contract Summary'!E64+2000</f>
        <v>2252</v>
      </c>
      <c r="E257" s="86">
        <f>'Contract Summary'!F64</f>
        <v>252</v>
      </c>
      <c r="F257" s="86">
        <f>'Contract Summary'!G64</f>
        <v>252</v>
      </c>
      <c r="G257" s="86">
        <f>'Contract Summary'!H64</f>
        <v>252</v>
      </c>
      <c r="H257" s="86">
        <f>'Contract Summary'!I64</f>
        <v>252</v>
      </c>
      <c r="I257" s="86">
        <f>'Contract Summary'!J64</f>
        <v>252</v>
      </c>
      <c r="J257" s="86">
        <f>'Contract Summary'!K64</f>
        <v>252</v>
      </c>
      <c r="K257" s="86">
        <f>'Contract Summary'!L64</f>
        <v>252</v>
      </c>
      <c r="L257" s="86">
        <f>'Contract Summary'!M64</f>
        <v>252</v>
      </c>
      <c r="M257" s="86">
        <f>'Contract Summary'!N64</f>
        <v>252</v>
      </c>
      <c r="N257" s="86">
        <f>'Contract Summary'!O64</f>
        <v>252</v>
      </c>
      <c r="O257" s="86">
        <f>'Contract Summary'!P64</f>
        <v>252</v>
      </c>
      <c r="P257" s="175">
        <f>SUM(D257:O257)</f>
        <v>5024</v>
      </c>
      <c r="R257" s="102">
        <f t="shared" si="117"/>
        <v>5024</v>
      </c>
      <c r="AD257" s="85">
        <f t="shared" si="118"/>
        <v>5024</v>
      </c>
      <c r="AE257" s="89">
        <f t="shared" si="119"/>
        <v>0</v>
      </c>
    </row>
    <row r="258" spans="1:31" ht="12.75" hidden="1" outlineLevel="1">
      <c r="A258" s="53"/>
      <c r="B258" s="70" t="s">
        <v>423</v>
      </c>
      <c r="C258" s="53" t="s">
        <v>424</v>
      </c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R258" s="102">
        <f t="shared" si="117"/>
        <v>0</v>
      </c>
      <c r="AD258" s="85">
        <f t="shared" si="118"/>
        <v>0</v>
      </c>
      <c r="AE258" s="89">
        <f t="shared" si="119"/>
        <v>0</v>
      </c>
    </row>
    <row r="259" spans="1:31" ht="12.75" hidden="1" outlineLevel="1">
      <c r="A259" s="53"/>
      <c r="B259" s="70">
        <v>2660430</v>
      </c>
      <c r="C259" s="53" t="s">
        <v>248</v>
      </c>
      <c r="D259" s="86">
        <f>'Contract Summary'!E17</f>
        <v>100</v>
      </c>
      <c r="E259" s="86">
        <f>'Contract Summary'!F17</f>
        <v>100</v>
      </c>
      <c r="F259" s="86">
        <f>'Contract Summary'!G17</f>
        <v>100</v>
      </c>
      <c r="G259" s="86">
        <f>'Contract Summary'!H17</f>
        <v>100</v>
      </c>
      <c r="H259" s="86">
        <f>'Contract Summary'!I17</f>
        <v>100</v>
      </c>
      <c r="I259" s="86">
        <f>'Contract Summary'!J17</f>
        <v>100</v>
      </c>
      <c r="J259" s="86">
        <f>'Contract Summary'!K17</f>
        <v>100</v>
      </c>
      <c r="K259" s="86">
        <f>'Contract Summary'!L17</f>
        <v>100</v>
      </c>
      <c r="L259" s="86">
        <f>'Contract Summary'!M17</f>
        <v>100</v>
      </c>
      <c r="M259" s="86">
        <f>'Contract Summary'!N17</f>
        <v>100</v>
      </c>
      <c r="N259" s="86">
        <f>'Contract Summary'!O17</f>
        <v>100</v>
      </c>
      <c r="O259" s="86">
        <f>'Contract Summary'!P17</f>
        <v>100</v>
      </c>
      <c r="P259" s="174">
        <f>SUM(D259:O259)</f>
        <v>1200</v>
      </c>
      <c r="R259" s="102">
        <f t="shared" si="117"/>
        <v>1200</v>
      </c>
      <c r="AD259" s="85">
        <f t="shared" si="118"/>
        <v>1200</v>
      </c>
      <c r="AE259" s="89">
        <f t="shared" si="119"/>
        <v>0</v>
      </c>
    </row>
    <row r="260" spans="1:31" ht="12.75" hidden="1" outlineLevel="1">
      <c r="A260" s="53"/>
      <c r="B260" s="70"/>
      <c r="C260" s="53" t="s">
        <v>167</v>
      </c>
      <c r="D260" s="86">
        <f>'Contract Summary'!E63</f>
        <v>1950</v>
      </c>
      <c r="E260" s="86">
        <f>'Contract Summary'!F63</f>
        <v>1950</v>
      </c>
      <c r="F260" s="86">
        <f>'Contract Summary'!G63</f>
        <v>1950</v>
      </c>
      <c r="G260" s="86">
        <f>'Contract Summary'!H63</f>
        <v>1950</v>
      </c>
      <c r="H260" s="86">
        <f>'Contract Summary'!I63</f>
        <v>1950</v>
      </c>
      <c r="I260" s="86">
        <f>'Contract Summary'!J63</f>
        <v>1950</v>
      </c>
      <c r="J260" s="86">
        <f>'Contract Summary'!K63</f>
        <v>1950</v>
      </c>
      <c r="K260" s="86">
        <f>'Contract Summary'!L63</f>
        <v>1950</v>
      </c>
      <c r="L260" s="86">
        <f>'Contract Summary'!M63</f>
        <v>1950</v>
      </c>
      <c r="M260" s="86">
        <f>'Contract Summary'!N63</f>
        <v>1950</v>
      </c>
      <c r="N260" s="86">
        <f>'Contract Summary'!O63</f>
        <v>1950</v>
      </c>
      <c r="O260" s="86">
        <f>'Contract Summary'!P63</f>
        <v>1950</v>
      </c>
      <c r="P260" s="174">
        <f>SUM(D260:O260)</f>
        <v>23400</v>
      </c>
      <c r="R260" s="102">
        <f t="shared" si="117"/>
        <v>23400</v>
      </c>
      <c r="AD260" s="85">
        <f t="shared" si="118"/>
        <v>23400</v>
      </c>
      <c r="AE260" s="89">
        <f t="shared" si="119"/>
        <v>0</v>
      </c>
    </row>
    <row r="261" spans="1:31" ht="12.75" hidden="1" outlineLevel="1">
      <c r="A261" s="53"/>
      <c r="B261" s="70"/>
      <c r="C261" s="53" t="s">
        <v>182</v>
      </c>
      <c r="D261" s="86">
        <f>'Contract Summary'!E44</f>
        <v>147</v>
      </c>
      <c r="E261" s="86">
        <f>'Contract Summary'!F44</f>
        <v>147</v>
      </c>
      <c r="F261" s="86">
        <f>'Contract Summary'!G44</f>
        <v>147</v>
      </c>
      <c r="G261" s="86">
        <f>'Contract Summary'!H44</f>
        <v>147</v>
      </c>
      <c r="H261" s="86">
        <f>'Contract Summary'!I44</f>
        <v>147</v>
      </c>
      <c r="I261" s="86">
        <f>'Contract Summary'!J44</f>
        <v>147</v>
      </c>
      <c r="J261" s="86">
        <f>'Contract Summary'!K44</f>
        <v>147</v>
      </c>
      <c r="K261" s="86">
        <f>'Contract Summary'!L44</f>
        <v>147</v>
      </c>
      <c r="L261" s="86">
        <f>'Contract Summary'!M44</f>
        <v>147</v>
      </c>
      <c r="M261" s="86">
        <f>'Contract Summary'!N44</f>
        <v>147</v>
      </c>
      <c r="N261" s="86">
        <f>'Contract Summary'!O44</f>
        <v>147</v>
      </c>
      <c r="O261" s="86">
        <f>'Contract Summary'!P44</f>
        <v>147</v>
      </c>
      <c r="P261" s="174">
        <f>SUM(D261:O261)</f>
        <v>1764</v>
      </c>
      <c r="R261" s="102">
        <f t="shared" si="117"/>
        <v>1764</v>
      </c>
      <c r="AD261" s="85">
        <f t="shared" si="118"/>
        <v>1764</v>
      </c>
      <c r="AE261" s="89">
        <f t="shared" si="119"/>
        <v>0</v>
      </c>
    </row>
    <row r="262" spans="1:31" ht="12.75" hidden="1" outlineLevel="1">
      <c r="A262" s="53"/>
      <c r="B262" s="70"/>
      <c r="C262" s="53" t="s">
        <v>199</v>
      </c>
      <c r="D262" s="86">
        <f>'Contract Summary'!E48</f>
        <v>5722</v>
      </c>
      <c r="E262" s="86">
        <f>'Contract Summary'!F48</f>
        <v>0</v>
      </c>
      <c r="F262" s="86">
        <f>'Contract Summary'!G48</f>
        <v>0</v>
      </c>
      <c r="G262" s="86">
        <f>'Contract Summary'!H48</f>
        <v>5722</v>
      </c>
      <c r="H262" s="86">
        <f>'Contract Summary'!I48</f>
        <v>0</v>
      </c>
      <c r="I262" s="86">
        <f>'Contract Summary'!J48</f>
        <v>0</v>
      </c>
      <c r="J262" s="86">
        <f>'Contract Summary'!K48</f>
        <v>5722</v>
      </c>
      <c r="K262" s="86">
        <f>'Contract Summary'!L48</f>
        <v>0</v>
      </c>
      <c r="L262" s="86">
        <f>'Contract Summary'!M48</f>
        <v>0</v>
      </c>
      <c r="M262" s="86">
        <f>'Contract Summary'!N48</f>
        <v>5722</v>
      </c>
      <c r="N262" s="86">
        <f>'Contract Summary'!O48</f>
        <v>0</v>
      </c>
      <c r="O262" s="86">
        <f>'Contract Summary'!P48</f>
        <v>0</v>
      </c>
      <c r="P262" s="174">
        <f>SUM(D262:O262)</f>
        <v>22888</v>
      </c>
      <c r="R262" s="102">
        <f t="shared" si="117"/>
        <v>22888</v>
      </c>
      <c r="AD262" s="85">
        <f t="shared" si="118"/>
        <v>22888</v>
      </c>
      <c r="AE262" s="89">
        <f t="shared" si="119"/>
        <v>0</v>
      </c>
    </row>
    <row r="263" spans="1:31" ht="12.75" hidden="1" outlineLevel="1">
      <c r="A263" s="53"/>
      <c r="B263" s="70"/>
      <c r="C263" s="53" t="s">
        <v>186</v>
      </c>
      <c r="D263" s="86">
        <f>'Contract Summary'!E50+'Contract Summary'!E58</f>
        <v>7830</v>
      </c>
      <c r="E263" s="86">
        <f>'Contract Summary'!F50+'Contract Summary'!F58</f>
        <v>330</v>
      </c>
      <c r="F263" s="86">
        <f>'Contract Summary'!G50+'Contract Summary'!G58</f>
        <v>330</v>
      </c>
      <c r="G263" s="86">
        <f>'Contract Summary'!H50+'Contract Summary'!H58</f>
        <v>330</v>
      </c>
      <c r="H263" s="86">
        <f>'Contract Summary'!I50+'Contract Summary'!I58</f>
        <v>330</v>
      </c>
      <c r="I263" s="86">
        <f>'Contract Summary'!J50+'Contract Summary'!J58</f>
        <v>330</v>
      </c>
      <c r="J263" s="86">
        <f>'Contract Summary'!K50+'Contract Summary'!K58</f>
        <v>330</v>
      </c>
      <c r="K263" s="86">
        <f>'Contract Summary'!L50+'Contract Summary'!L58</f>
        <v>330</v>
      </c>
      <c r="L263" s="86">
        <f>'Contract Summary'!M50+'Contract Summary'!M58</f>
        <v>330</v>
      </c>
      <c r="M263" s="86">
        <f>'Contract Summary'!N50+'Contract Summary'!N58</f>
        <v>330</v>
      </c>
      <c r="N263" s="86">
        <f>'Contract Summary'!O50+'Contract Summary'!O58</f>
        <v>330</v>
      </c>
      <c r="O263" s="86">
        <f>'Contract Summary'!P50+'Contract Summary'!P58</f>
        <v>330</v>
      </c>
      <c r="P263" s="174">
        <f>SUM(D263:O263)</f>
        <v>11460</v>
      </c>
      <c r="R263" s="102">
        <f t="shared" si="117"/>
        <v>11460</v>
      </c>
      <c r="AD263" s="85">
        <f t="shared" si="118"/>
        <v>11460</v>
      </c>
      <c r="AE263" s="89">
        <f t="shared" si="119"/>
        <v>0</v>
      </c>
    </row>
    <row r="264" spans="1:31" ht="12.75" hidden="1" outlineLevel="1">
      <c r="A264" s="53"/>
      <c r="B264" s="70"/>
      <c r="C264" s="53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AE264" s="89"/>
    </row>
    <row r="265" spans="2:31" s="60" customFormat="1" ht="12.75" collapsed="1">
      <c r="B265" s="74"/>
      <c r="C265" s="64" t="s">
        <v>280</v>
      </c>
      <c r="D265" s="82">
        <f aca="true" t="shared" si="120" ref="D265:I265">SUM(D253:D264)</f>
        <v>28286</v>
      </c>
      <c r="E265" s="82">
        <f t="shared" si="120"/>
        <v>13064</v>
      </c>
      <c r="F265" s="82">
        <f t="shared" si="120"/>
        <v>13064</v>
      </c>
      <c r="G265" s="82">
        <f t="shared" si="120"/>
        <v>18786</v>
      </c>
      <c r="H265" s="82">
        <f t="shared" si="120"/>
        <v>13064</v>
      </c>
      <c r="I265" s="82">
        <f t="shared" si="120"/>
        <v>13064</v>
      </c>
      <c r="J265" s="82">
        <f aca="true" t="shared" si="121" ref="J265:AD265">SUM(J253:J264)</f>
        <v>18786</v>
      </c>
      <c r="K265" s="82">
        <f t="shared" si="121"/>
        <v>13064</v>
      </c>
      <c r="L265" s="82">
        <f t="shared" si="121"/>
        <v>13064</v>
      </c>
      <c r="M265" s="82">
        <f t="shared" si="121"/>
        <v>18786</v>
      </c>
      <c r="N265" s="82">
        <f t="shared" si="121"/>
        <v>13064</v>
      </c>
      <c r="O265" s="82">
        <f t="shared" si="121"/>
        <v>13064</v>
      </c>
      <c r="P265" s="170">
        <f t="shared" si="121"/>
        <v>189156</v>
      </c>
      <c r="Q265" s="82">
        <f t="shared" si="121"/>
        <v>0</v>
      </c>
      <c r="R265" s="82">
        <f t="shared" si="121"/>
        <v>189156</v>
      </c>
      <c r="S265" s="82">
        <f t="shared" si="121"/>
        <v>0</v>
      </c>
      <c r="T265" s="82">
        <f t="shared" si="121"/>
        <v>0</v>
      </c>
      <c r="U265" s="82">
        <f t="shared" si="121"/>
        <v>0</v>
      </c>
      <c r="V265" s="82">
        <f t="shared" si="121"/>
        <v>0</v>
      </c>
      <c r="W265" s="82">
        <f t="shared" si="121"/>
        <v>0</v>
      </c>
      <c r="X265" s="82">
        <f t="shared" si="121"/>
        <v>0</v>
      </c>
      <c r="Y265" s="82">
        <f t="shared" si="121"/>
        <v>0</v>
      </c>
      <c r="Z265" s="82">
        <f t="shared" si="121"/>
        <v>0</v>
      </c>
      <c r="AA265" s="82">
        <f t="shared" si="121"/>
        <v>0</v>
      </c>
      <c r="AB265" s="82">
        <f t="shared" si="121"/>
        <v>0</v>
      </c>
      <c r="AC265" s="82">
        <f t="shared" si="121"/>
        <v>0</v>
      </c>
      <c r="AD265" s="82">
        <f t="shared" si="121"/>
        <v>189156</v>
      </c>
      <c r="AE265" s="91">
        <f t="shared" si="119"/>
        <v>0</v>
      </c>
    </row>
    <row r="266" spans="1:15" s="190" customFormat="1" ht="9.75" customHeight="1">
      <c r="A266" s="193"/>
      <c r="B266" s="194"/>
      <c r="C266" s="195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</row>
    <row r="267" spans="1:31" ht="12.75" hidden="1" outlineLevel="1">
      <c r="A267" s="4"/>
      <c r="B267" s="70">
        <v>2620621</v>
      </c>
      <c r="C267" s="53" t="s">
        <v>570</v>
      </c>
      <c r="D267" s="86">
        <v>150</v>
      </c>
      <c r="E267" s="86">
        <v>150</v>
      </c>
      <c r="F267" s="86">
        <v>150</v>
      </c>
      <c r="G267" s="86">
        <v>150</v>
      </c>
      <c r="H267" s="86">
        <v>150</v>
      </c>
      <c r="I267" s="86">
        <v>150</v>
      </c>
      <c r="J267" s="86">
        <v>150</v>
      </c>
      <c r="K267" s="86">
        <v>150</v>
      </c>
      <c r="L267" s="86">
        <v>150</v>
      </c>
      <c r="M267" s="86">
        <v>150</v>
      </c>
      <c r="N267" s="86">
        <v>150</v>
      </c>
      <c r="O267" s="86">
        <v>150</v>
      </c>
      <c r="P267" s="85">
        <f>SUM(D267:O267)</f>
        <v>1800</v>
      </c>
      <c r="R267" s="102">
        <f>P267-S267-T267-U267-V267-W267-X267-Y267-Z267-AB267-AC267</f>
        <v>1800</v>
      </c>
      <c r="AD267" s="85">
        <f>SUM(R267:AC267)</f>
        <v>1800</v>
      </c>
      <c r="AE267" s="89">
        <f t="shared" si="119"/>
        <v>0</v>
      </c>
    </row>
    <row r="268" spans="1:31" ht="12.75" hidden="1" outlineLevel="1">
      <c r="A268" s="4"/>
      <c r="B268" s="70">
        <v>2620622</v>
      </c>
      <c r="C268" s="53" t="s">
        <v>569</v>
      </c>
      <c r="D268" s="86">
        <v>6500</v>
      </c>
      <c r="E268" s="86">
        <v>6500</v>
      </c>
      <c r="F268" s="86">
        <v>6500</v>
      </c>
      <c r="G268" s="86">
        <v>6500</v>
      </c>
      <c r="H268" s="86">
        <v>6500</v>
      </c>
      <c r="I268" s="86">
        <v>6500</v>
      </c>
      <c r="J268" s="86">
        <v>6500</v>
      </c>
      <c r="K268" s="86">
        <v>6500</v>
      </c>
      <c r="L268" s="86">
        <v>6500</v>
      </c>
      <c r="M268" s="86">
        <v>6500</v>
      </c>
      <c r="N268" s="86">
        <v>6500</v>
      </c>
      <c r="O268" s="86">
        <v>6500</v>
      </c>
      <c r="P268" s="85">
        <f>SUM(D268:O268)</f>
        <v>78000</v>
      </c>
      <c r="R268" s="102">
        <f>P268-S268-T268-U268-V268-W268-X268-Y268-Z268-AB268-AC268</f>
        <v>78000</v>
      </c>
      <c r="AD268" s="85">
        <f>SUM(R268:AC268)</f>
        <v>78000</v>
      </c>
      <c r="AE268" s="89"/>
    </row>
    <row r="269" spans="1:31" ht="12.75" hidden="1" outlineLevel="1">
      <c r="A269" s="4"/>
      <c r="B269" s="70"/>
      <c r="C269" s="53" t="s">
        <v>281</v>
      </c>
      <c r="D269" s="86">
        <f>'Contract Summary'!E68</f>
        <v>0</v>
      </c>
      <c r="E269" s="86">
        <f>'Contract Summary'!F68</f>
        <v>1305</v>
      </c>
      <c r="F269" s="86">
        <f>'Contract Summary'!G68</f>
        <v>1305</v>
      </c>
      <c r="G269" s="86">
        <f>'Contract Summary'!H68</f>
        <v>1305</v>
      </c>
      <c r="H269" s="86">
        <f>'Contract Summary'!I68</f>
        <v>1305</v>
      </c>
      <c r="I269" s="86">
        <f>'Contract Summary'!J68</f>
        <v>1305</v>
      </c>
      <c r="J269" s="86">
        <f>'Contract Summary'!K68</f>
        <v>1305</v>
      </c>
      <c r="K269" s="86">
        <f>'Contract Summary'!L68</f>
        <v>1305</v>
      </c>
      <c r="L269" s="86">
        <f>'Contract Summary'!M68</f>
        <v>1305</v>
      </c>
      <c r="M269" s="86">
        <f>'Contract Summary'!N68</f>
        <v>1305</v>
      </c>
      <c r="N269" s="86">
        <f>'Contract Summary'!O68</f>
        <v>1305</v>
      </c>
      <c r="O269" s="86">
        <f>'Contract Summary'!P68</f>
        <v>0</v>
      </c>
      <c r="P269" s="85">
        <f>SUM(D269:O269)</f>
        <v>13050</v>
      </c>
      <c r="R269" s="102">
        <f>P269-S269-T269-U269-V269-W269-X269-Y269-Z269-AB269-AC269</f>
        <v>13050</v>
      </c>
      <c r="AD269" s="85">
        <f>SUM(R269:AC269)</f>
        <v>13050</v>
      </c>
      <c r="AE269" s="89">
        <f t="shared" si="119"/>
        <v>0</v>
      </c>
    </row>
    <row r="270" spans="1:31" ht="12.75" hidden="1" outlineLevel="1">
      <c r="A270" s="4"/>
      <c r="B270" s="70"/>
      <c r="C270" s="53" t="s">
        <v>198</v>
      </c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175" t="e">
        <f>#REF!</f>
        <v>#REF!</v>
      </c>
      <c r="R270" s="102" t="e">
        <f>P270-S270-T270-U270-V270-W270-X270-Y270-Z270-AB270-AC270</f>
        <v>#REF!</v>
      </c>
      <c r="AD270" s="85"/>
      <c r="AE270" s="89"/>
    </row>
    <row r="271" spans="1:31" ht="12.75" hidden="1" outlineLevel="1">
      <c r="A271" s="4"/>
      <c r="B271" s="70"/>
      <c r="C271" s="53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AE271" s="89"/>
    </row>
    <row r="272" spans="2:31" s="60" customFormat="1" ht="12.75" collapsed="1">
      <c r="B272" s="74"/>
      <c r="C272" s="64" t="s">
        <v>282</v>
      </c>
      <c r="D272" s="82">
        <f aca="true" t="shared" si="122" ref="D272:I272">SUM(D267:D269)</f>
        <v>6650</v>
      </c>
      <c r="E272" s="82">
        <f t="shared" si="122"/>
        <v>7955</v>
      </c>
      <c r="F272" s="82">
        <f t="shared" si="122"/>
        <v>7955</v>
      </c>
      <c r="G272" s="82">
        <f t="shared" si="122"/>
        <v>7955</v>
      </c>
      <c r="H272" s="82">
        <f t="shared" si="122"/>
        <v>7955</v>
      </c>
      <c r="I272" s="82">
        <f t="shared" si="122"/>
        <v>7955</v>
      </c>
      <c r="J272" s="82">
        <f aca="true" t="shared" si="123" ref="J272:AD272">SUM(J267:J269)</f>
        <v>7955</v>
      </c>
      <c r="K272" s="82">
        <f t="shared" si="123"/>
        <v>7955</v>
      </c>
      <c r="L272" s="82">
        <f t="shared" si="123"/>
        <v>7955</v>
      </c>
      <c r="M272" s="82">
        <f t="shared" si="123"/>
        <v>7955</v>
      </c>
      <c r="N272" s="82">
        <f t="shared" si="123"/>
        <v>7955</v>
      </c>
      <c r="O272" s="82">
        <f t="shared" si="123"/>
        <v>6650</v>
      </c>
      <c r="P272" s="170">
        <f t="shared" si="123"/>
        <v>92850</v>
      </c>
      <c r="Q272" s="82">
        <f t="shared" si="123"/>
        <v>0</v>
      </c>
      <c r="R272" s="82">
        <f t="shared" si="123"/>
        <v>92850</v>
      </c>
      <c r="S272" s="82">
        <f t="shared" si="123"/>
        <v>0</v>
      </c>
      <c r="T272" s="82">
        <f t="shared" si="123"/>
        <v>0</v>
      </c>
      <c r="U272" s="82">
        <f t="shared" si="123"/>
        <v>0</v>
      </c>
      <c r="V272" s="82">
        <f t="shared" si="123"/>
        <v>0</v>
      </c>
      <c r="W272" s="82">
        <f t="shared" si="123"/>
        <v>0</v>
      </c>
      <c r="X272" s="82">
        <f t="shared" si="123"/>
        <v>0</v>
      </c>
      <c r="Y272" s="82">
        <f t="shared" si="123"/>
        <v>0</v>
      </c>
      <c r="Z272" s="82">
        <f t="shared" si="123"/>
        <v>0</v>
      </c>
      <c r="AA272" s="82">
        <f t="shared" si="123"/>
        <v>0</v>
      </c>
      <c r="AB272" s="82">
        <f t="shared" si="123"/>
        <v>0</v>
      </c>
      <c r="AC272" s="82">
        <f t="shared" si="123"/>
        <v>0</v>
      </c>
      <c r="AD272" s="82">
        <f t="shared" si="123"/>
        <v>92850</v>
      </c>
      <c r="AE272" s="91">
        <f t="shared" si="119"/>
        <v>0</v>
      </c>
    </row>
    <row r="273" spans="1:15" s="190" customFormat="1" ht="9.75" customHeight="1">
      <c r="A273" s="196"/>
      <c r="B273" s="194"/>
      <c r="C273" s="197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</row>
    <row r="274" spans="1:15" ht="12.75" hidden="1" outlineLevel="1">
      <c r="A274" s="4"/>
      <c r="B274" s="70" t="s">
        <v>283</v>
      </c>
      <c r="C274" s="53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</row>
    <row r="275" spans="1:31" ht="12.75" hidden="1" outlineLevel="1">
      <c r="A275" s="4"/>
      <c r="B275" s="70">
        <v>1100641</v>
      </c>
      <c r="C275" s="53" t="s">
        <v>284</v>
      </c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238"/>
      <c r="R275" s="102">
        <f aca="true" t="shared" si="124" ref="R275:R283">P275-S275-T275-U275-V275-W275-X275-Y275-Z275-AB275-AC275</f>
        <v>0</v>
      </c>
      <c r="AD275" s="85">
        <f aca="true" t="shared" si="125" ref="AD275:AD283">SUM(R275:AC275)</f>
        <v>0</v>
      </c>
      <c r="AE275" s="89">
        <f aca="true" t="shared" si="126" ref="AE275:AE285">P275-AD275</f>
        <v>0</v>
      </c>
    </row>
    <row r="276" spans="1:31" ht="12.75" hidden="1" outlineLevel="1">
      <c r="A276" s="78"/>
      <c r="B276" s="70" t="s">
        <v>285</v>
      </c>
      <c r="C276" s="53" t="s">
        <v>286</v>
      </c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238"/>
      <c r="R276" s="102">
        <f t="shared" si="124"/>
        <v>0</v>
      </c>
      <c r="AD276" s="85">
        <f t="shared" si="125"/>
        <v>0</v>
      </c>
      <c r="AE276" s="89">
        <f t="shared" si="126"/>
        <v>0</v>
      </c>
    </row>
    <row r="277" spans="1:31" ht="12.75" hidden="1" outlineLevel="1">
      <c r="A277" s="78"/>
      <c r="B277" s="70">
        <v>1210642</v>
      </c>
      <c r="C277" s="53" t="s">
        <v>287</v>
      </c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238"/>
      <c r="R277" s="102">
        <f t="shared" si="124"/>
        <v>0</v>
      </c>
      <c r="AD277" s="85">
        <f t="shared" si="125"/>
        <v>0</v>
      </c>
      <c r="AE277" s="89">
        <f t="shared" si="126"/>
        <v>0</v>
      </c>
    </row>
    <row r="278" spans="1:31" ht="12.75" hidden="1" outlineLevel="1">
      <c r="A278" s="78"/>
      <c r="B278" s="70" t="s">
        <v>288</v>
      </c>
      <c r="C278" s="53" t="s">
        <v>289</v>
      </c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234"/>
      <c r="R278" s="102">
        <f t="shared" si="124"/>
        <v>0</v>
      </c>
      <c r="AD278" s="85">
        <f t="shared" si="125"/>
        <v>0</v>
      </c>
      <c r="AE278" s="89">
        <f t="shared" si="126"/>
        <v>0</v>
      </c>
    </row>
    <row r="279" spans="1:31" ht="12.75" hidden="1" outlineLevel="1">
      <c r="A279" s="78"/>
      <c r="B279" s="70">
        <v>2310640</v>
      </c>
      <c r="C279" s="53" t="s">
        <v>290</v>
      </c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238"/>
      <c r="R279" s="102">
        <f t="shared" si="124"/>
        <v>0</v>
      </c>
      <c r="AD279" s="85">
        <f t="shared" si="125"/>
        <v>0</v>
      </c>
      <c r="AE279" s="89">
        <f t="shared" si="126"/>
        <v>0</v>
      </c>
    </row>
    <row r="280" spans="1:31" ht="12.75" hidden="1" outlineLevel="1">
      <c r="A280" s="78"/>
      <c r="B280" s="70">
        <v>2410640</v>
      </c>
      <c r="C280" s="53" t="s">
        <v>291</v>
      </c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238"/>
      <c r="R280" s="102">
        <f t="shared" si="124"/>
        <v>0</v>
      </c>
      <c r="AD280" s="85">
        <f t="shared" si="125"/>
        <v>0</v>
      </c>
      <c r="AE280" s="89">
        <f t="shared" si="126"/>
        <v>0</v>
      </c>
    </row>
    <row r="281" spans="1:31" ht="12.75" hidden="1" outlineLevel="1">
      <c r="A281" s="78"/>
      <c r="B281" s="70" t="s">
        <v>292</v>
      </c>
      <c r="C281" s="53" t="s">
        <v>293</v>
      </c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238"/>
      <c r="R281" s="102">
        <f t="shared" si="124"/>
        <v>0</v>
      </c>
      <c r="AD281" s="85">
        <f t="shared" si="125"/>
        <v>0</v>
      </c>
      <c r="AE281" s="89">
        <f t="shared" si="126"/>
        <v>0</v>
      </c>
    </row>
    <row r="282" spans="1:31" ht="12.75" hidden="1" outlineLevel="1">
      <c r="A282" s="78"/>
      <c r="B282" s="70" t="s">
        <v>294</v>
      </c>
      <c r="C282" s="53" t="s">
        <v>295</v>
      </c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238"/>
      <c r="R282" s="102">
        <f t="shared" si="124"/>
        <v>0</v>
      </c>
      <c r="AD282" s="85">
        <f t="shared" si="125"/>
        <v>0</v>
      </c>
      <c r="AE282" s="89">
        <f t="shared" si="126"/>
        <v>0</v>
      </c>
    </row>
    <row r="283" spans="1:31" ht="12.75" hidden="1" outlineLevel="1">
      <c r="A283" s="78"/>
      <c r="B283" s="70">
        <v>2500640</v>
      </c>
      <c r="C283" s="53" t="s">
        <v>296</v>
      </c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238"/>
      <c r="R283" s="102">
        <f t="shared" si="124"/>
        <v>0</v>
      </c>
      <c r="AD283" s="85">
        <f t="shared" si="125"/>
        <v>0</v>
      </c>
      <c r="AE283" s="89">
        <f t="shared" si="126"/>
        <v>0</v>
      </c>
    </row>
    <row r="284" spans="1:15" ht="12.75" hidden="1" outlineLevel="1">
      <c r="A284" s="78"/>
      <c r="B284" s="70"/>
      <c r="C284" s="53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</row>
    <row r="285" spans="2:31" s="60" customFormat="1" ht="12.75" collapsed="1">
      <c r="B285" s="74"/>
      <c r="C285" s="64" t="s">
        <v>297</v>
      </c>
      <c r="D285" s="82">
        <f aca="true" t="shared" si="127" ref="D285:I285">SUM(D274:D284)</f>
        <v>0</v>
      </c>
      <c r="E285" s="82">
        <f t="shared" si="127"/>
        <v>0</v>
      </c>
      <c r="F285" s="82">
        <f t="shared" si="127"/>
        <v>0</v>
      </c>
      <c r="G285" s="82">
        <f t="shared" si="127"/>
        <v>0</v>
      </c>
      <c r="H285" s="82">
        <f t="shared" si="127"/>
        <v>0</v>
      </c>
      <c r="I285" s="82">
        <f t="shared" si="127"/>
        <v>0</v>
      </c>
      <c r="J285" s="82">
        <f aca="true" t="shared" si="128" ref="J285:AD285">SUM(J274:J284)</f>
        <v>0</v>
      </c>
      <c r="K285" s="82">
        <f t="shared" si="128"/>
        <v>0</v>
      </c>
      <c r="L285" s="82">
        <f t="shared" si="128"/>
        <v>0</v>
      </c>
      <c r="M285" s="82">
        <f t="shared" si="128"/>
        <v>0</v>
      </c>
      <c r="N285" s="82">
        <f t="shared" si="128"/>
        <v>0</v>
      </c>
      <c r="O285" s="82">
        <f t="shared" si="128"/>
        <v>0</v>
      </c>
      <c r="P285" s="184">
        <f t="shared" si="128"/>
        <v>0</v>
      </c>
      <c r="Q285" s="82">
        <f t="shared" si="128"/>
        <v>0</v>
      </c>
      <c r="R285" s="82">
        <f t="shared" si="128"/>
        <v>0</v>
      </c>
      <c r="S285" s="82">
        <f t="shared" si="128"/>
        <v>0</v>
      </c>
      <c r="T285" s="82">
        <f t="shared" si="128"/>
        <v>0</v>
      </c>
      <c r="U285" s="82">
        <f t="shared" si="128"/>
        <v>0</v>
      </c>
      <c r="V285" s="82">
        <f t="shared" si="128"/>
        <v>0</v>
      </c>
      <c r="W285" s="82">
        <f t="shared" si="128"/>
        <v>0</v>
      </c>
      <c r="X285" s="82">
        <f t="shared" si="128"/>
        <v>0</v>
      </c>
      <c r="Y285" s="82">
        <f t="shared" si="128"/>
        <v>0</v>
      </c>
      <c r="Z285" s="82">
        <f t="shared" si="128"/>
        <v>0</v>
      </c>
      <c r="AA285" s="82">
        <f t="shared" si="128"/>
        <v>0</v>
      </c>
      <c r="AB285" s="82">
        <f t="shared" si="128"/>
        <v>0</v>
      </c>
      <c r="AC285" s="82">
        <f t="shared" si="128"/>
        <v>0</v>
      </c>
      <c r="AD285" s="82">
        <f t="shared" si="128"/>
        <v>0</v>
      </c>
      <c r="AE285" s="91">
        <f t="shared" si="126"/>
        <v>0</v>
      </c>
    </row>
    <row r="286" spans="1:15" s="190" customFormat="1" ht="9.75" customHeight="1">
      <c r="A286" s="188"/>
      <c r="B286" s="194"/>
      <c r="C286" s="195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</row>
    <row r="287" spans="1:15" ht="12.75" hidden="1" outlineLevel="1">
      <c r="A287" s="4"/>
      <c r="B287" s="70" t="s">
        <v>298</v>
      </c>
      <c r="C287" s="57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</row>
    <row r="288" spans="1:31" ht="12.75" hidden="1" outlineLevel="1">
      <c r="A288" s="4"/>
      <c r="B288" s="70">
        <v>1105610</v>
      </c>
      <c r="C288" s="53" t="s">
        <v>240</v>
      </c>
      <c r="D288" s="86">
        <f>P288/2</f>
        <v>250</v>
      </c>
      <c r="E288" s="86"/>
      <c r="F288" s="86"/>
      <c r="G288" s="86"/>
      <c r="H288" s="86"/>
      <c r="I288" s="86"/>
      <c r="J288" s="86">
        <f>P288/2</f>
        <v>250</v>
      </c>
      <c r="K288" s="86"/>
      <c r="L288" s="86"/>
      <c r="M288" s="86"/>
      <c r="N288" s="86"/>
      <c r="O288" s="86"/>
      <c r="P288" s="248">
        <v>500</v>
      </c>
      <c r="R288" s="102">
        <f aca="true" t="shared" si="129" ref="R288:R307">P288-S288-T288-U288-V288-W288-X288-Y288-Z288-AB288-AC288</f>
        <v>0</v>
      </c>
      <c r="S288" s="86"/>
      <c r="T288" s="86"/>
      <c r="U288" s="86"/>
      <c r="V288" s="86"/>
      <c r="W288" s="86"/>
      <c r="X288" s="86"/>
      <c r="Y288" s="86"/>
      <c r="Z288" s="86">
        <v>500</v>
      </c>
      <c r="AA288" s="86"/>
      <c r="AB288" s="86"/>
      <c r="AC288" s="86"/>
      <c r="AD288" s="85">
        <f>SUM(R288:AC288)</f>
        <v>500</v>
      </c>
      <c r="AE288" s="89">
        <f>P288-AD288</f>
        <v>0</v>
      </c>
    </row>
    <row r="289" spans="1:31" ht="12.75" hidden="1" outlineLevel="1">
      <c r="A289" s="53"/>
      <c r="B289" s="70" t="s">
        <v>299</v>
      </c>
      <c r="C289" s="53" t="s">
        <v>300</v>
      </c>
      <c r="D289" s="86">
        <f>P289/2</f>
        <v>2000</v>
      </c>
      <c r="E289" s="86"/>
      <c r="F289" s="86"/>
      <c r="G289" s="86"/>
      <c r="H289" s="86"/>
      <c r="I289" s="86"/>
      <c r="J289" s="86">
        <f>P289/2</f>
        <v>2000</v>
      </c>
      <c r="K289" s="86"/>
      <c r="L289" s="86"/>
      <c r="M289" s="86"/>
      <c r="N289" s="86"/>
      <c r="O289" s="86"/>
      <c r="P289" s="248">
        <v>4000</v>
      </c>
      <c r="R289" s="102">
        <f t="shared" si="129"/>
        <v>0</v>
      </c>
      <c r="S289" s="86"/>
      <c r="T289" s="86"/>
      <c r="U289" s="86"/>
      <c r="V289" s="86"/>
      <c r="W289" s="86"/>
      <c r="X289" s="86"/>
      <c r="Y289" s="86"/>
      <c r="Z289" s="86">
        <v>4000</v>
      </c>
      <c r="AA289" s="86"/>
      <c r="AB289" s="86"/>
      <c r="AC289" s="86"/>
      <c r="AD289" s="85">
        <f aca="true" t="shared" si="130" ref="AD289:AD307">SUM(R289:AC289)</f>
        <v>4000</v>
      </c>
      <c r="AE289" s="89">
        <f aca="true" t="shared" si="131" ref="AE289:AE307">P289-AD289</f>
        <v>0</v>
      </c>
    </row>
    <row r="290" spans="1:32" ht="12.75" hidden="1" outlineLevel="1">
      <c r="A290" s="53"/>
      <c r="B290" s="70" t="s">
        <v>301</v>
      </c>
      <c r="C290" s="53" t="s">
        <v>302</v>
      </c>
      <c r="D290" s="86">
        <f>P290</f>
        <v>15764</v>
      </c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248">
        <v>15764</v>
      </c>
      <c r="R290" s="102">
        <f t="shared" si="129"/>
        <v>4880</v>
      </c>
      <c r="S290" s="86"/>
      <c r="T290" s="86"/>
      <c r="U290" s="86"/>
      <c r="V290" s="86"/>
      <c r="W290" s="86"/>
      <c r="X290" s="86"/>
      <c r="Y290" s="86"/>
      <c r="Z290" s="86"/>
      <c r="AA290" s="86"/>
      <c r="AB290" s="86">
        <v>10884</v>
      </c>
      <c r="AC290" s="86"/>
      <c r="AD290" s="85">
        <f t="shared" si="130"/>
        <v>15764</v>
      </c>
      <c r="AE290" s="89">
        <f t="shared" si="131"/>
        <v>0</v>
      </c>
      <c r="AF290" s="122" t="s">
        <v>144</v>
      </c>
    </row>
    <row r="291" spans="1:31" ht="12.75" hidden="1" outlineLevel="1">
      <c r="A291" s="53"/>
      <c r="B291" s="70">
        <v>1420610</v>
      </c>
      <c r="C291" s="53" t="s">
        <v>247</v>
      </c>
      <c r="D291" s="86">
        <f>P291/2</f>
        <v>250</v>
      </c>
      <c r="E291" s="86"/>
      <c r="F291" s="86"/>
      <c r="G291" s="86"/>
      <c r="H291" s="86"/>
      <c r="I291" s="86"/>
      <c r="J291" s="86">
        <f>P291/2</f>
        <v>250</v>
      </c>
      <c r="K291" s="86"/>
      <c r="L291" s="86"/>
      <c r="M291" s="86"/>
      <c r="N291" s="86"/>
      <c r="O291" s="86"/>
      <c r="P291" s="248">
        <v>500</v>
      </c>
      <c r="R291" s="102">
        <f t="shared" si="129"/>
        <v>500</v>
      </c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5">
        <f t="shared" si="130"/>
        <v>500</v>
      </c>
      <c r="AE291" s="89">
        <f t="shared" si="131"/>
        <v>0</v>
      </c>
    </row>
    <row r="292" spans="1:31" ht="12.75" hidden="1" outlineLevel="1">
      <c r="A292" s="53"/>
      <c r="B292" s="70">
        <v>2134610</v>
      </c>
      <c r="C292" s="53" t="s">
        <v>197</v>
      </c>
      <c r="D292" s="86">
        <f>$P$292/2</f>
        <v>500</v>
      </c>
      <c r="E292" s="86"/>
      <c r="F292" s="86"/>
      <c r="G292" s="86"/>
      <c r="H292" s="86"/>
      <c r="I292" s="86"/>
      <c r="J292" s="86">
        <f>$P$292/2</f>
        <v>500</v>
      </c>
      <c r="K292" s="86"/>
      <c r="L292" s="86"/>
      <c r="M292" s="86"/>
      <c r="N292" s="86"/>
      <c r="O292" s="86"/>
      <c r="P292" s="248">
        <v>1000</v>
      </c>
      <c r="R292" s="102">
        <f t="shared" si="129"/>
        <v>1000</v>
      </c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5">
        <f t="shared" si="130"/>
        <v>1000</v>
      </c>
      <c r="AE292" s="89">
        <f t="shared" si="131"/>
        <v>0</v>
      </c>
    </row>
    <row r="293" spans="1:31" ht="12.75" hidden="1" outlineLevel="1">
      <c r="A293" s="53"/>
      <c r="B293" s="70" t="s">
        <v>303</v>
      </c>
      <c r="C293" s="53" t="s">
        <v>304</v>
      </c>
      <c r="D293" s="86">
        <f aca="true" t="shared" si="132" ref="D293:D298">P293</f>
        <v>15808</v>
      </c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248">
        <v>15808</v>
      </c>
      <c r="R293" s="102">
        <f t="shared" si="129"/>
        <v>0</v>
      </c>
      <c r="S293" s="86">
        <v>15808</v>
      </c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5">
        <f t="shared" si="130"/>
        <v>15808</v>
      </c>
      <c r="AE293" s="89">
        <f t="shared" si="131"/>
        <v>0</v>
      </c>
    </row>
    <row r="294" spans="1:31" ht="12.75" hidden="1" outlineLevel="1">
      <c r="A294" s="53"/>
      <c r="B294" s="70"/>
      <c r="C294" s="53" t="s">
        <v>202</v>
      </c>
      <c r="D294" s="86">
        <f t="shared" si="132"/>
        <v>4000</v>
      </c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248">
        <v>4000</v>
      </c>
      <c r="R294" s="102">
        <f t="shared" si="129"/>
        <v>0</v>
      </c>
      <c r="S294" s="86">
        <v>4000</v>
      </c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5">
        <f>SUM(R294:AC294)</f>
        <v>4000</v>
      </c>
      <c r="AE294" s="89">
        <f>P294-AD294</f>
        <v>0</v>
      </c>
    </row>
    <row r="295" spans="1:32" ht="12.75" hidden="1" outlineLevel="1">
      <c r="A295" s="53"/>
      <c r="B295" s="70"/>
      <c r="C295" s="53" t="s">
        <v>204</v>
      </c>
      <c r="D295" s="86">
        <f t="shared" si="132"/>
        <v>4176</v>
      </c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248">
        <v>4176</v>
      </c>
      <c r="R295" s="102">
        <f t="shared" si="129"/>
        <v>0</v>
      </c>
      <c r="S295" s="86"/>
      <c r="T295" s="86"/>
      <c r="U295" s="86"/>
      <c r="V295" s="86"/>
      <c r="W295" s="86">
        <v>4176</v>
      </c>
      <c r="X295" s="86"/>
      <c r="Y295" s="86"/>
      <c r="Z295" s="86"/>
      <c r="AA295" s="86"/>
      <c r="AB295" s="86"/>
      <c r="AC295" s="86"/>
      <c r="AD295" s="85">
        <f>SUM(R295:AC295)</f>
        <v>4176</v>
      </c>
      <c r="AE295" s="89">
        <f>P295-AD295</f>
        <v>0</v>
      </c>
      <c r="AF295" t="s">
        <v>205</v>
      </c>
    </row>
    <row r="296" spans="1:31" ht="12.75" hidden="1" outlineLevel="1">
      <c r="A296" s="53"/>
      <c r="B296" s="70"/>
      <c r="C296" s="53" t="s">
        <v>206</v>
      </c>
      <c r="D296" s="86">
        <f t="shared" si="132"/>
        <v>5779</v>
      </c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248">
        <v>5779</v>
      </c>
      <c r="R296" s="102">
        <f t="shared" si="129"/>
        <v>0</v>
      </c>
      <c r="S296" s="86"/>
      <c r="T296" s="86">
        <v>5779</v>
      </c>
      <c r="U296" s="86"/>
      <c r="V296" s="86"/>
      <c r="W296" s="86"/>
      <c r="X296" s="86"/>
      <c r="Y296" s="86"/>
      <c r="Z296" s="86"/>
      <c r="AA296" s="86"/>
      <c r="AB296" s="86"/>
      <c r="AC296" s="86"/>
      <c r="AD296" s="85">
        <f>SUM(R296:AC296)</f>
        <v>5779</v>
      </c>
      <c r="AE296" s="89">
        <f>P296-AD296</f>
        <v>0</v>
      </c>
    </row>
    <row r="297" spans="1:31" ht="12.75" hidden="1" outlineLevel="1">
      <c r="A297" s="53"/>
      <c r="B297" s="70"/>
      <c r="C297" s="53" t="s">
        <v>207</v>
      </c>
      <c r="D297" s="86">
        <f t="shared" si="132"/>
        <v>18963</v>
      </c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248">
        <v>18963</v>
      </c>
      <c r="R297" s="102">
        <f t="shared" si="129"/>
        <v>0</v>
      </c>
      <c r="S297" s="86"/>
      <c r="T297" s="86"/>
      <c r="U297" s="86">
        <v>18963</v>
      </c>
      <c r="V297" s="86"/>
      <c r="W297" s="86"/>
      <c r="X297" s="86"/>
      <c r="Y297" s="86"/>
      <c r="Z297" s="86"/>
      <c r="AA297" s="86"/>
      <c r="AB297" s="86"/>
      <c r="AC297" s="86"/>
      <c r="AD297" s="85">
        <f>SUM(R297:AC297)</f>
        <v>18963</v>
      </c>
      <c r="AE297" s="89">
        <f>P297-AD297</f>
        <v>0</v>
      </c>
    </row>
    <row r="298" spans="1:31" ht="12.75" hidden="1" outlineLevel="1">
      <c r="A298" s="53"/>
      <c r="B298" s="70"/>
      <c r="C298" s="53" t="s">
        <v>209</v>
      </c>
      <c r="D298" s="86">
        <f t="shared" si="132"/>
        <v>67763</v>
      </c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248">
        <v>67763</v>
      </c>
      <c r="R298" s="102">
        <f t="shared" si="129"/>
        <v>0</v>
      </c>
      <c r="S298" s="86"/>
      <c r="T298" s="86"/>
      <c r="U298" s="86"/>
      <c r="V298" s="86"/>
      <c r="W298" s="86"/>
      <c r="X298" s="86"/>
      <c r="Y298" s="86"/>
      <c r="Z298" s="86">
        <v>67763</v>
      </c>
      <c r="AA298" s="86"/>
      <c r="AB298" s="86"/>
      <c r="AC298" s="86"/>
      <c r="AD298" s="85">
        <f>SUM(R298:AC298)</f>
        <v>67763</v>
      </c>
      <c r="AE298" s="89">
        <f>P298-AD298</f>
        <v>0</v>
      </c>
    </row>
    <row r="299" spans="1:31" ht="12.75" hidden="1" outlineLevel="1">
      <c r="A299" s="53"/>
      <c r="B299" s="70" t="s">
        <v>305</v>
      </c>
      <c r="C299" s="53" t="s">
        <v>306</v>
      </c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180"/>
      <c r="R299" s="102">
        <f t="shared" si="129"/>
        <v>0</v>
      </c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5">
        <f t="shared" si="130"/>
        <v>0</v>
      </c>
      <c r="AE299" s="89">
        <f t="shared" si="131"/>
        <v>0</v>
      </c>
    </row>
    <row r="300" spans="1:31" ht="12.75" hidden="1" outlineLevel="1">
      <c r="A300" s="53"/>
      <c r="B300" s="70" t="s">
        <v>307</v>
      </c>
      <c r="C300" s="53" t="s">
        <v>308</v>
      </c>
      <c r="D300" s="86">
        <f>P300/4</f>
        <v>500</v>
      </c>
      <c r="E300" s="86"/>
      <c r="F300" s="86"/>
      <c r="G300" s="86">
        <f>P300/4</f>
        <v>500</v>
      </c>
      <c r="H300" s="86"/>
      <c r="I300" s="86"/>
      <c r="J300" s="86">
        <f>P300/4</f>
        <v>500</v>
      </c>
      <c r="K300" s="86"/>
      <c r="L300" s="86"/>
      <c r="M300" s="86">
        <f>P300/4</f>
        <v>500</v>
      </c>
      <c r="N300" s="86"/>
      <c r="O300" s="86"/>
      <c r="P300" s="248">
        <v>2000</v>
      </c>
      <c r="R300" s="102">
        <f t="shared" si="129"/>
        <v>2000</v>
      </c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5">
        <f t="shared" si="130"/>
        <v>2000</v>
      </c>
      <c r="AE300" s="89">
        <f t="shared" si="131"/>
        <v>0</v>
      </c>
    </row>
    <row r="301" spans="1:31" ht="12.75" hidden="1" outlineLevel="1">
      <c r="A301" s="53"/>
      <c r="B301" s="70" t="s">
        <v>309</v>
      </c>
      <c r="C301" s="53" t="s">
        <v>310</v>
      </c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R301" s="102">
        <f t="shared" si="129"/>
        <v>0</v>
      </c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5">
        <f t="shared" si="130"/>
        <v>0</v>
      </c>
      <c r="AE301" s="89">
        <f t="shared" si="131"/>
        <v>0</v>
      </c>
    </row>
    <row r="302" spans="1:31" ht="12.75" hidden="1" outlineLevel="1">
      <c r="A302" s="53"/>
      <c r="B302" s="70" t="s">
        <v>311</v>
      </c>
      <c r="C302" s="53" t="s">
        <v>312</v>
      </c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R302" s="102">
        <f t="shared" si="129"/>
        <v>0</v>
      </c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5">
        <f t="shared" si="130"/>
        <v>0</v>
      </c>
      <c r="AE302" s="89">
        <f t="shared" si="131"/>
        <v>0</v>
      </c>
    </row>
    <row r="303" spans="1:31" ht="12.75" hidden="1" outlineLevel="1">
      <c r="A303" s="53"/>
      <c r="B303" s="70" t="s">
        <v>313</v>
      </c>
      <c r="C303" s="53" t="s">
        <v>314</v>
      </c>
      <c r="D303" s="86">
        <f>$P$303/12</f>
        <v>333.3333333333333</v>
      </c>
      <c r="E303" s="86">
        <f aca="true" t="shared" si="133" ref="E303:O303">$P$303/12</f>
        <v>333.3333333333333</v>
      </c>
      <c r="F303" s="86">
        <f t="shared" si="133"/>
        <v>333.3333333333333</v>
      </c>
      <c r="G303" s="86">
        <f t="shared" si="133"/>
        <v>333.3333333333333</v>
      </c>
      <c r="H303" s="86">
        <f t="shared" si="133"/>
        <v>333.3333333333333</v>
      </c>
      <c r="I303" s="86">
        <f t="shared" si="133"/>
        <v>333.3333333333333</v>
      </c>
      <c r="J303" s="86">
        <f t="shared" si="133"/>
        <v>333.3333333333333</v>
      </c>
      <c r="K303" s="86">
        <f t="shared" si="133"/>
        <v>333.3333333333333</v>
      </c>
      <c r="L303" s="86">
        <f t="shared" si="133"/>
        <v>333.3333333333333</v>
      </c>
      <c r="M303" s="86">
        <f t="shared" si="133"/>
        <v>333.3333333333333</v>
      </c>
      <c r="N303" s="86">
        <f t="shared" si="133"/>
        <v>333.3333333333333</v>
      </c>
      <c r="O303" s="86">
        <f t="shared" si="133"/>
        <v>333.3333333333333</v>
      </c>
      <c r="P303" s="248">
        <v>4000</v>
      </c>
      <c r="R303" s="102">
        <f t="shared" si="129"/>
        <v>4000</v>
      </c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5">
        <f t="shared" si="130"/>
        <v>4000</v>
      </c>
      <c r="AE303" s="89">
        <f t="shared" si="131"/>
        <v>0</v>
      </c>
    </row>
    <row r="304" spans="1:31" ht="12.75" hidden="1" outlineLevel="1">
      <c r="A304" s="53"/>
      <c r="B304" s="70" t="s">
        <v>315</v>
      </c>
      <c r="C304" s="53" t="s">
        <v>316</v>
      </c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R304" s="102">
        <f t="shared" si="129"/>
        <v>0</v>
      </c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5">
        <f t="shared" si="130"/>
        <v>0</v>
      </c>
      <c r="AE304" s="89">
        <f t="shared" si="131"/>
        <v>0</v>
      </c>
    </row>
    <row r="305" spans="1:31" ht="12.75" hidden="1" outlineLevel="1">
      <c r="A305" s="53"/>
      <c r="B305" s="70" t="s">
        <v>317</v>
      </c>
      <c r="C305" s="53" t="s">
        <v>318</v>
      </c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R305" s="102">
        <f t="shared" si="129"/>
        <v>0</v>
      </c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5">
        <f t="shared" si="130"/>
        <v>0</v>
      </c>
      <c r="AE305" s="89">
        <f t="shared" si="131"/>
        <v>0</v>
      </c>
    </row>
    <row r="306" spans="1:31" ht="12.75" hidden="1" outlineLevel="1">
      <c r="A306" s="53"/>
      <c r="B306" s="70">
        <v>3210610</v>
      </c>
      <c r="C306" s="53" t="s">
        <v>256</v>
      </c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5"/>
      <c r="R306" s="102">
        <f t="shared" si="129"/>
        <v>0</v>
      </c>
      <c r="AD306" s="85">
        <f t="shared" si="130"/>
        <v>0</v>
      </c>
      <c r="AE306" s="89">
        <f t="shared" si="131"/>
        <v>0</v>
      </c>
    </row>
    <row r="307" spans="1:31" ht="12.75" hidden="1" outlineLevel="1">
      <c r="A307" s="53"/>
      <c r="B307" s="70"/>
      <c r="C307" s="249" t="s">
        <v>211</v>
      </c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185">
        <v>48193</v>
      </c>
      <c r="P307" s="89">
        <f>SUM(D307:O307)</f>
        <v>48193</v>
      </c>
      <c r="R307" s="102">
        <f t="shared" si="129"/>
        <v>0</v>
      </c>
      <c r="V307" s="86">
        <v>18026</v>
      </c>
      <c r="Z307" s="86">
        <v>4500</v>
      </c>
      <c r="AC307" s="86">
        <v>25667</v>
      </c>
      <c r="AD307" s="85">
        <f t="shared" si="130"/>
        <v>48193</v>
      </c>
      <c r="AE307" s="89">
        <f t="shared" si="131"/>
        <v>0</v>
      </c>
    </row>
    <row r="308" spans="1:31" s="60" customFormat="1" ht="12.75" collapsed="1">
      <c r="A308" s="64"/>
      <c r="B308" s="74"/>
      <c r="C308" s="64" t="s">
        <v>319</v>
      </c>
      <c r="D308" s="82">
        <f>SUM(D287:D307)</f>
        <v>136086.33333333334</v>
      </c>
      <c r="E308" s="82">
        <f aca="true" t="shared" si="134" ref="E308:AD308">SUM(E287:E307)</f>
        <v>333.3333333333333</v>
      </c>
      <c r="F308" s="82">
        <f t="shared" si="134"/>
        <v>333.3333333333333</v>
      </c>
      <c r="G308" s="82">
        <f t="shared" si="134"/>
        <v>833.3333333333333</v>
      </c>
      <c r="H308" s="82">
        <f t="shared" si="134"/>
        <v>333.3333333333333</v>
      </c>
      <c r="I308" s="82">
        <f t="shared" si="134"/>
        <v>333.3333333333333</v>
      </c>
      <c r="J308" s="82">
        <f t="shared" si="134"/>
        <v>3833.3333333333335</v>
      </c>
      <c r="K308" s="82">
        <f t="shared" si="134"/>
        <v>333.3333333333333</v>
      </c>
      <c r="L308" s="82">
        <f t="shared" si="134"/>
        <v>333.3333333333333</v>
      </c>
      <c r="M308" s="82">
        <f t="shared" si="134"/>
        <v>833.3333333333333</v>
      </c>
      <c r="N308" s="82">
        <f t="shared" si="134"/>
        <v>333.3333333333333</v>
      </c>
      <c r="O308" s="82">
        <f t="shared" si="134"/>
        <v>48526.333333333336</v>
      </c>
      <c r="P308" s="170">
        <f>SUM(P288:P307)</f>
        <v>192446</v>
      </c>
      <c r="Q308" s="82"/>
      <c r="R308" s="82">
        <f t="shared" si="134"/>
        <v>12380</v>
      </c>
      <c r="S308" s="82">
        <f t="shared" si="134"/>
        <v>19808</v>
      </c>
      <c r="T308" s="82">
        <f t="shared" si="134"/>
        <v>5779</v>
      </c>
      <c r="U308" s="82">
        <f t="shared" si="134"/>
        <v>18963</v>
      </c>
      <c r="V308" s="82">
        <f t="shared" si="134"/>
        <v>18026</v>
      </c>
      <c r="W308" s="82">
        <f t="shared" si="134"/>
        <v>4176</v>
      </c>
      <c r="X308" s="82">
        <f t="shared" si="134"/>
        <v>0</v>
      </c>
      <c r="Y308" s="82">
        <f t="shared" si="134"/>
        <v>0</v>
      </c>
      <c r="Z308" s="82">
        <f t="shared" si="134"/>
        <v>76763</v>
      </c>
      <c r="AA308" s="82">
        <f t="shared" si="134"/>
        <v>0</v>
      </c>
      <c r="AB308" s="82">
        <f t="shared" si="134"/>
        <v>10884</v>
      </c>
      <c r="AC308" s="82">
        <f t="shared" si="134"/>
        <v>25667</v>
      </c>
      <c r="AD308" s="82">
        <f t="shared" si="134"/>
        <v>192446</v>
      </c>
      <c r="AE308" s="91">
        <f>P305-AD305</f>
        <v>0</v>
      </c>
    </row>
    <row r="309" spans="1:15" s="190" customFormat="1" ht="9.75" customHeight="1">
      <c r="A309" s="198"/>
      <c r="B309" s="198"/>
      <c r="C309" s="198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</row>
    <row r="310" spans="1:31" ht="12.75" hidden="1" outlineLevel="1">
      <c r="A310" s="4"/>
      <c r="B310" s="57" t="s">
        <v>320</v>
      </c>
      <c r="C310" s="57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R310" s="102">
        <f aca="true" t="shared" si="135" ref="R310:R318">P310-S310-T310-U310-V310-W310-X310-Y310-Z310-AB310-AC310</f>
        <v>0</v>
      </c>
      <c r="AD310" s="85">
        <f aca="true" t="shared" si="136" ref="AD310:AD318">SUM(R310:AC310)</f>
        <v>0</v>
      </c>
      <c r="AE310" s="89">
        <f aca="true" t="shared" si="137" ref="AE310:AE320">P310-AD310</f>
        <v>0</v>
      </c>
    </row>
    <row r="311" spans="1:31" ht="12.75" hidden="1" outlineLevel="1">
      <c r="A311" s="53"/>
      <c r="B311" s="70" t="s">
        <v>321</v>
      </c>
      <c r="C311" s="53" t="s">
        <v>322</v>
      </c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R311" s="102">
        <f t="shared" si="135"/>
        <v>0</v>
      </c>
      <c r="AD311" s="85">
        <f t="shared" si="136"/>
        <v>0</v>
      </c>
      <c r="AE311" s="89">
        <f t="shared" si="137"/>
        <v>0</v>
      </c>
    </row>
    <row r="312" spans="1:31" ht="12.75" hidden="1" outlineLevel="1">
      <c r="A312" s="53"/>
      <c r="B312" s="70">
        <v>1210530</v>
      </c>
      <c r="C312" s="53" t="s">
        <v>323</v>
      </c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R312" s="102">
        <f t="shared" si="135"/>
        <v>0</v>
      </c>
      <c r="AD312" s="85">
        <f t="shared" si="136"/>
        <v>0</v>
      </c>
      <c r="AE312" s="89">
        <f t="shared" si="137"/>
        <v>0</v>
      </c>
    </row>
    <row r="313" spans="1:31" ht="12.75" hidden="1" outlineLevel="1">
      <c r="A313" s="53"/>
      <c r="B313" s="70" t="s">
        <v>324</v>
      </c>
      <c r="C313" s="53" t="s">
        <v>325</v>
      </c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R313" s="102">
        <f t="shared" si="135"/>
        <v>0</v>
      </c>
      <c r="AD313" s="85">
        <f t="shared" si="136"/>
        <v>0</v>
      </c>
      <c r="AE313" s="89">
        <f t="shared" si="137"/>
        <v>0</v>
      </c>
    </row>
    <row r="314" spans="1:31" ht="12.75" hidden="1" outlineLevel="1">
      <c r="A314" s="53"/>
      <c r="B314" s="70" t="s">
        <v>326</v>
      </c>
      <c r="C314" s="53" t="s">
        <v>327</v>
      </c>
      <c r="D314" s="86">
        <f>'Contract Summary'!E93+'Contract Summary'!E94</f>
        <v>557.5</v>
      </c>
      <c r="E314" s="86">
        <f>'Contract Summary'!F93+'Contract Summary'!F94</f>
        <v>62.5</v>
      </c>
      <c r="F314" s="86">
        <f>'Contract Summary'!G93+'Contract Summary'!G94</f>
        <v>62.5</v>
      </c>
      <c r="G314" s="86">
        <f>'Contract Summary'!H93+'Contract Summary'!H94</f>
        <v>557.5</v>
      </c>
      <c r="H314" s="86">
        <f>'Contract Summary'!I93+'Contract Summary'!I94</f>
        <v>62.5</v>
      </c>
      <c r="I314" s="86">
        <f>'Contract Summary'!J93+'Contract Summary'!J94</f>
        <v>62.5</v>
      </c>
      <c r="J314" s="86">
        <f>'Contract Summary'!K93+'Contract Summary'!K94</f>
        <v>557.5</v>
      </c>
      <c r="K314" s="86">
        <f>'Contract Summary'!L93+'Contract Summary'!L94</f>
        <v>62.5</v>
      </c>
      <c r="L314" s="86">
        <f>'Contract Summary'!M93+'Contract Summary'!M94</f>
        <v>62.5</v>
      </c>
      <c r="M314" s="86">
        <f>'Contract Summary'!N93+'Contract Summary'!N94</f>
        <v>557.5</v>
      </c>
      <c r="N314" s="86">
        <f>'Contract Summary'!O93+'Contract Summary'!O94</f>
        <v>62.5</v>
      </c>
      <c r="O314" s="86">
        <f>'Contract Summary'!P93+'Contract Summary'!P94</f>
        <v>62.5</v>
      </c>
      <c r="P314" s="175">
        <f>SUM(D314:O314)</f>
        <v>2730</v>
      </c>
      <c r="R314" s="102">
        <f t="shared" si="135"/>
        <v>2730</v>
      </c>
      <c r="AD314" s="85">
        <f t="shared" si="136"/>
        <v>2730</v>
      </c>
      <c r="AE314" s="89">
        <f t="shared" si="137"/>
        <v>0</v>
      </c>
    </row>
    <row r="315" spans="1:31" ht="12.75" hidden="1" outlineLevel="1">
      <c r="A315" s="53"/>
      <c r="B315" s="70">
        <v>2420530</v>
      </c>
      <c r="C315" s="53" t="s">
        <v>328</v>
      </c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R315" s="102">
        <f t="shared" si="135"/>
        <v>0</v>
      </c>
      <c r="AD315" s="85">
        <f t="shared" si="136"/>
        <v>0</v>
      </c>
      <c r="AE315" s="89">
        <f t="shared" si="137"/>
        <v>0</v>
      </c>
    </row>
    <row r="316" spans="1:31" ht="12.75" hidden="1" outlineLevel="1">
      <c r="A316" s="53"/>
      <c r="B316" s="70" t="s">
        <v>329</v>
      </c>
      <c r="C316" s="53" t="s">
        <v>330</v>
      </c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R316" s="102">
        <f t="shared" si="135"/>
        <v>0</v>
      </c>
      <c r="AD316" s="85">
        <f t="shared" si="136"/>
        <v>0</v>
      </c>
      <c r="AE316" s="89">
        <f t="shared" si="137"/>
        <v>0</v>
      </c>
    </row>
    <row r="317" spans="1:31" ht="12.75" hidden="1" outlineLevel="1">
      <c r="A317" s="53"/>
      <c r="B317" s="70" t="s">
        <v>331</v>
      </c>
      <c r="C317" s="53" t="s">
        <v>332</v>
      </c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5"/>
      <c r="R317" s="102">
        <f t="shared" si="135"/>
        <v>0</v>
      </c>
      <c r="AD317" s="85">
        <f t="shared" si="136"/>
        <v>0</v>
      </c>
      <c r="AE317" s="89">
        <f t="shared" si="137"/>
        <v>0</v>
      </c>
    </row>
    <row r="318" spans="1:31" ht="12.75" hidden="1" outlineLevel="1">
      <c r="A318" s="53"/>
      <c r="B318" s="70" t="s">
        <v>333</v>
      </c>
      <c r="C318" s="53" t="s">
        <v>334</v>
      </c>
      <c r="D318" s="86">
        <f>'Contract Summary'!E96+'Contract Summary'!E98</f>
        <v>145</v>
      </c>
      <c r="E318" s="86">
        <f>'Contract Summary'!F96+'Contract Summary'!F98</f>
        <v>145</v>
      </c>
      <c r="F318" s="86">
        <f>'Contract Summary'!G96+'Contract Summary'!G98</f>
        <v>145</v>
      </c>
      <c r="G318" s="86">
        <f>'Contract Summary'!H96+'Contract Summary'!H98</f>
        <v>145</v>
      </c>
      <c r="H318" s="86">
        <f>'Contract Summary'!I96+'Contract Summary'!I98</f>
        <v>145</v>
      </c>
      <c r="I318" s="86">
        <f>'Contract Summary'!J96+'Contract Summary'!J98</f>
        <v>145</v>
      </c>
      <c r="J318" s="86">
        <f>'Contract Summary'!K96+'Contract Summary'!K98</f>
        <v>145</v>
      </c>
      <c r="K318" s="86">
        <f>'Contract Summary'!L96+'Contract Summary'!L98</f>
        <v>145</v>
      </c>
      <c r="L318" s="86">
        <f>'Contract Summary'!M96+'Contract Summary'!M98</f>
        <v>145</v>
      </c>
      <c r="M318" s="86">
        <f>'Contract Summary'!N96+'Contract Summary'!N98</f>
        <v>145</v>
      </c>
      <c r="N318" s="86">
        <f>'Contract Summary'!O96+'Contract Summary'!O98</f>
        <v>145</v>
      </c>
      <c r="O318" s="86">
        <f>'Contract Summary'!P96+'Contract Summary'!P98</f>
        <v>145</v>
      </c>
      <c r="P318" s="175">
        <f>SUM(D318:O318)</f>
        <v>1740</v>
      </c>
      <c r="R318" s="102">
        <f t="shared" si="135"/>
        <v>1740</v>
      </c>
      <c r="AD318" s="85">
        <f t="shared" si="136"/>
        <v>1740</v>
      </c>
      <c r="AE318" s="89">
        <f t="shared" si="137"/>
        <v>0</v>
      </c>
    </row>
    <row r="319" spans="1:15" ht="12.75" hidden="1" outlineLevel="1">
      <c r="A319" s="53"/>
      <c r="B319" s="70"/>
      <c r="C319" s="53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</row>
    <row r="320" spans="2:31" s="60" customFormat="1" ht="12.75" collapsed="1">
      <c r="B320" s="74"/>
      <c r="C320" s="64" t="s">
        <v>335</v>
      </c>
      <c r="D320" s="82">
        <f>SUM(D310:D319)</f>
        <v>702.5</v>
      </c>
      <c r="E320" s="82">
        <f aca="true" t="shared" si="138" ref="E320:AD320">SUM(E310:E319)</f>
        <v>207.5</v>
      </c>
      <c r="F320" s="82">
        <f t="shared" si="138"/>
        <v>207.5</v>
      </c>
      <c r="G320" s="82">
        <f t="shared" si="138"/>
        <v>702.5</v>
      </c>
      <c r="H320" s="82">
        <f t="shared" si="138"/>
        <v>207.5</v>
      </c>
      <c r="I320" s="82">
        <f t="shared" si="138"/>
        <v>207.5</v>
      </c>
      <c r="J320" s="82">
        <f t="shared" si="138"/>
        <v>702.5</v>
      </c>
      <c r="K320" s="82">
        <f t="shared" si="138"/>
        <v>207.5</v>
      </c>
      <c r="L320" s="82">
        <f t="shared" si="138"/>
        <v>207.5</v>
      </c>
      <c r="M320" s="82">
        <f t="shared" si="138"/>
        <v>702.5</v>
      </c>
      <c r="N320" s="82">
        <f t="shared" si="138"/>
        <v>207.5</v>
      </c>
      <c r="O320" s="82">
        <f t="shared" si="138"/>
        <v>207.5</v>
      </c>
      <c r="P320" s="170">
        <f t="shared" si="138"/>
        <v>4470</v>
      </c>
      <c r="Q320" s="82">
        <f t="shared" si="138"/>
        <v>0</v>
      </c>
      <c r="R320" s="82">
        <f t="shared" si="138"/>
        <v>4470</v>
      </c>
      <c r="S320" s="82">
        <f t="shared" si="138"/>
        <v>0</v>
      </c>
      <c r="T320" s="82">
        <f t="shared" si="138"/>
        <v>0</v>
      </c>
      <c r="U320" s="82">
        <f t="shared" si="138"/>
        <v>0</v>
      </c>
      <c r="V320" s="82">
        <f t="shared" si="138"/>
        <v>0</v>
      </c>
      <c r="W320" s="82">
        <f t="shared" si="138"/>
        <v>0</v>
      </c>
      <c r="X320" s="82">
        <f t="shared" si="138"/>
        <v>0</v>
      </c>
      <c r="Y320" s="82">
        <f t="shared" si="138"/>
        <v>0</v>
      </c>
      <c r="Z320" s="82">
        <f t="shared" si="138"/>
        <v>0</v>
      </c>
      <c r="AA320" s="82">
        <f t="shared" si="138"/>
        <v>0</v>
      </c>
      <c r="AB320" s="82">
        <f t="shared" si="138"/>
        <v>0</v>
      </c>
      <c r="AC320" s="82">
        <f t="shared" si="138"/>
        <v>0</v>
      </c>
      <c r="AD320" s="82">
        <f t="shared" si="138"/>
        <v>4470</v>
      </c>
      <c r="AE320" s="91">
        <f t="shared" si="137"/>
        <v>0</v>
      </c>
    </row>
    <row r="321" spans="1:15" s="190" customFormat="1" ht="9.75" customHeight="1">
      <c r="A321" s="193"/>
      <c r="B321" s="194"/>
      <c r="C321" s="195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</row>
    <row r="322" spans="1:31" ht="12.75" hidden="1" outlineLevel="1">
      <c r="A322" s="4"/>
      <c r="B322" s="70" t="s">
        <v>336</v>
      </c>
      <c r="C322" s="57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R322" s="102">
        <f aca="true" t="shared" si="139" ref="R322:R328">P322-S322-T322-U322-V322-W322-X322-Y322-Z322-AB322-AC322</f>
        <v>0</v>
      </c>
      <c r="AD322" s="85">
        <f aca="true" t="shared" si="140" ref="AD322:AD328">SUM(R322:AC322)</f>
        <v>0</v>
      </c>
      <c r="AE322" s="89">
        <f aca="true" t="shared" si="141" ref="AE322:AE332">P322-AD322</f>
        <v>0</v>
      </c>
    </row>
    <row r="323" spans="1:31" ht="12.75" hidden="1" outlineLevel="1">
      <c r="A323" s="53"/>
      <c r="B323" s="70" t="s">
        <v>337</v>
      </c>
      <c r="C323" s="53" t="s">
        <v>338</v>
      </c>
      <c r="D323" s="86">
        <f>P323/3</f>
        <v>2874</v>
      </c>
      <c r="E323" s="86"/>
      <c r="F323" s="86"/>
      <c r="G323" s="86"/>
      <c r="H323" s="86"/>
      <c r="I323" s="86"/>
      <c r="J323" s="86"/>
      <c r="K323" s="86"/>
      <c r="L323" s="86"/>
      <c r="M323" s="86"/>
      <c r="N323" s="86">
        <f>P323/3</f>
        <v>2874</v>
      </c>
      <c r="O323" s="86">
        <f>P323/3</f>
        <v>2874</v>
      </c>
      <c r="P323" s="247">
        <v>8622</v>
      </c>
      <c r="R323" s="102">
        <f t="shared" si="139"/>
        <v>0</v>
      </c>
      <c r="S323" s="85"/>
      <c r="T323" s="85"/>
      <c r="U323" s="85"/>
      <c r="V323" s="86">
        <f>2696+1300+1935+2691</f>
        <v>8622</v>
      </c>
      <c r="AD323" s="85">
        <f t="shared" si="140"/>
        <v>8622</v>
      </c>
      <c r="AE323" s="89">
        <f t="shared" si="141"/>
        <v>0</v>
      </c>
    </row>
    <row r="324" spans="1:32" ht="12.75" hidden="1" outlineLevel="1">
      <c r="A324" s="53"/>
      <c r="B324" s="70"/>
      <c r="C324" s="53" t="s">
        <v>245</v>
      </c>
      <c r="D324" s="86">
        <f>P324</f>
        <v>970</v>
      </c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250">
        <v>970</v>
      </c>
      <c r="R324" s="102">
        <f t="shared" si="139"/>
        <v>970</v>
      </c>
      <c r="AC324" s="100"/>
      <c r="AD324" s="85">
        <f t="shared" si="140"/>
        <v>970</v>
      </c>
      <c r="AE324" s="89">
        <f t="shared" si="141"/>
        <v>0</v>
      </c>
      <c r="AF324" s="122" t="s">
        <v>144</v>
      </c>
    </row>
    <row r="325" spans="1:31" ht="12.75" hidden="1" outlineLevel="1">
      <c r="A325" s="53"/>
      <c r="B325" s="70" t="s">
        <v>339</v>
      </c>
      <c r="C325" s="53" t="s">
        <v>340</v>
      </c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238"/>
      <c r="R325" s="102">
        <f t="shared" si="139"/>
        <v>0</v>
      </c>
      <c r="AD325" s="85">
        <f t="shared" si="140"/>
        <v>0</v>
      </c>
      <c r="AE325" s="89">
        <f t="shared" si="141"/>
        <v>0</v>
      </c>
    </row>
    <row r="326" spans="1:31" ht="12.75" hidden="1" outlineLevel="1">
      <c r="A326" s="53"/>
      <c r="B326" s="70" t="s">
        <v>341</v>
      </c>
      <c r="C326" s="53" t="s">
        <v>342</v>
      </c>
      <c r="D326" s="86">
        <f>P326</f>
        <v>150</v>
      </c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247">
        <v>150</v>
      </c>
      <c r="R326" s="102">
        <f t="shared" si="139"/>
        <v>150</v>
      </c>
      <c r="AD326" s="85">
        <f t="shared" si="140"/>
        <v>150</v>
      </c>
      <c r="AE326" s="89">
        <f t="shared" si="141"/>
        <v>0</v>
      </c>
    </row>
    <row r="327" spans="1:31" ht="12.75" hidden="1" outlineLevel="1">
      <c r="A327" s="53"/>
      <c r="B327" s="70" t="s">
        <v>343</v>
      </c>
      <c r="C327" s="53" t="s">
        <v>344</v>
      </c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238"/>
      <c r="R327" s="102">
        <f t="shared" si="139"/>
        <v>0</v>
      </c>
      <c r="AD327" s="85">
        <f t="shared" si="140"/>
        <v>0</v>
      </c>
      <c r="AE327" s="89">
        <f t="shared" si="141"/>
        <v>0</v>
      </c>
    </row>
    <row r="328" spans="1:31" ht="12.75" hidden="1" outlineLevel="1">
      <c r="A328" s="53"/>
      <c r="B328" s="70">
        <v>3210582</v>
      </c>
      <c r="C328" s="53" t="s">
        <v>258</v>
      </c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234"/>
      <c r="R328" s="102">
        <f t="shared" si="139"/>
        <v>0</v>
      </c>
      <c r="AD328" s="85">
        <f t="shared" si="140"/>
        <v>0</v>
      </c>
      <c r="AE328" s="89">
        <f t="shared" si="141"/>
        <v>0</v>
      </c>
    </row>
    <row r="329" spans="1:15" ht="12.75" hidden="1" outlineLevel="1">
      <c r="A329" s="53"/>
      <c r="B329" s="70"/>
      <c r="C329" s="53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</row>
    <row r="330" spans="2:31" s="60" customFormat="1" ht="12.75" collapsed="1">
      <c r="B330" s="74"/>
      <c r="C330" s="64" t="s">
        <v>345</v>
      </c>
      <c r="D330" s="82">
        <f>SUM(D322:D329)</f>
        <v>3994</v>
      </c>
      <c r="E330" s="82">
        <f aca="true" t="shared" si="142" ref="E330:AD330">SUM(E322:E329)</f>
        <v>0</v>
      </c>
      <c r="F330" s="82">
        <f t="shared" si="142"/>
        <v>0</v>
      </c>
      <c r="G330" s="82">
        <f t="shared" si="142"/>
        <v>0</v>
      </c>
      <c r="H330" s="82">
        <f t="shared" si="142"/>
        <v>0</v>
      </c>
      <c r="I330" s="82">
        <f t="shared" si="142"/>
        <v>0</v>
      </c>
      <c r="J330" s="82">
        <f t="shared" si="142"/>
        <v>0</v>
      </c>
      <c r="K330" s="82">
        <f t="shared" si="142"/>
        <v>0</v>
      </c>
      <c r="L330" s="82">
        <f t="shared" si="142"/>
        <v>0</v>
      </c>
      <c r="M330" s="82">
        <f t="shared" si="142"/>
        <v>0</v>
      </c>
      <c r="N330" s="82">
        <f t="shared" si="142"/>
        <v>2874</v>
      </c>
      <c r="O330" s="82">
        <f t="shared" si="142"/>
        <v>2874</v>
      </c>
      <c r="P330" s="82">
        <f t="shared" si="142"/>
        <v>9742</v>
      </c>
      <c r="Q330" s="82">
        <f t="shared" si="142"/>
        <v>0</v>
      </c>
      <c r="R330" s="207">
        <f t="shared" si="142"/>
        <v>1120</v>
      </c>
      <c r="S330" s="207">
        <f t="shared" si="142"/>
        <v>0</v>
      </c>
      <c r="T330" s="207">
        <f t="shared" si="142"/>
        <v>0</v>
      </c>
      <c r="U330" s="207">
        <f t="shared" si="142"/>
        <v>0</v>
      </c>
      <c r="V330" s="207">
        <f t="shared" si="142"/>
        <v>8622</v>
      </c>
      <c r="W330" s="207">
        <f t="shared" si="142"/>
        <v>0</v>
      </c>
      <c r="X330" s="207">
        <f t="shared" si="142"/>
        <v>0</v>
      </c>
      <c r="Y330" s="207">
        <f t="shared" si="142"/>
        <v>0</v>
      </c>
      <c r="Z330" s="207">
        <f t="shared" si="142"/>
        <v>0</v>
      </c>
      <c r="AA330" s="207">
        <f t="shared" si="142"/>
        <v>0</v>
      </c>
      <c r="AB330" s="207">
        <f t="shared" si="142"/>
        <v>0</v>
      </c>
      <c r="AC330" s="207">
        <f t="shared" si="142"/>
        <v>0</v>
      </c>
      <c r="AD330" s="207">
        <f t="shared" si="142"/>
        <v>9742</v>
      </c>
      <c r="AE330" s="91">
        <f t="shared" si="141"/>
        <v>0</v>
      </c>
    </row>
    <row r="331" spans="1:15" s="190" customFormat="1" ht="9.75" customHeight="1">
      <c r="A331" s="195"/>
      <c r="B331" s="195"/>
      <c r="C331" s="195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</row>
    <row r="332" spans="1:31" ht="12.75">
      <c r="A332" s="53"/>
      <c r="C332" s="154" t="s">
        <v>346</v>
      </c>
      <c r="D332" s="155" t="e">
        <f aca="true" t="shared" si="143" ref="D332:P332">D76+D94+D110+D142+D159+D176+D182+D184+D191+D202+D210+D218+D227+D251+D265+D272+D285+D308+D320+D330+D125</f>
        <v>#REF!</v>
      </c>
      <c r="E332" s="155" t="e">
        <f t="shared" si="143"/>
        <v>#REF!</v>
      </c>
      <c r="F332" s="155" t="e">
        <f t="shared" si="143"/>
        <v>#REF!</v>
      </c>
      <c r="G332" s="155" t="e">
        <f t="shared" si="143"/>
        <v>#REF!</v>
      </c>
      <c r="H332" s="155" t="e">
        <f t="shared" si="143"/>
        <v>#REF!</v>
      </c>
      <c r="I332" s="155" t="e">
        <f t="shared" si="143"/>
        <v>#REF!</v>
      </c>
      <c r="J332" s="155" t="e">
        <f t="shared" si="143"/>
        <v>#REF!</v>
      </c>
      <c r="K332" s="155" t="e">
        <f t="shared" si="143"/>
        <v>#REF!</v>
      </c>
      <c r="L332" s="155" t="e">
        <f t="shared" si="143"/>
        <v>#REF!</v>
      </c>
      <c r="M332" s="155" t="e">
        <f t="shared" si="143"/>
        <v>#REF!</v>
      </c>
      <c r="N332" s="155" t="e">
        <f t="shared" si="143"/>
        <v>#REF!</v>
      </c>
      <c r="O332" s="155" t="e">
        <f t="shared" si="143"/>
        <v>#REF!</v>
      </c>
      <c r="P332" s="156" t="e">
        <f t="shared" si="143"/>
        <v>#REF!</v>
      </c>
      <c r="Q332" s="157"/>
      <c r="R332" s="155" t="e">
        <f aca="true" t="shared" si="144" ref="R332:AD332">R76+R94+R110+R142+R159+R176+R182+R184+R191+R202+R210+R218+R227+R251+R265+R272+R285+R308+R320+R330+R125</f>
        <v>#REF!</v>
      </c>
      <c r="S332" s="155">
        <f t="shared" si="144"/>
        <v>71808</v>
      </c>
      <c r="T332" s="155">
        <f t="shared" si="144"/>
        <v>5779</v>
      </c>
      <c r="U332" s="155">
        <f t="shared" si="144"/>
        <v>103963</v>
      </c>
      <c r="V332" s="155">
        <f t="shared" si="144"/>
        <v>26648</v>
      </c>
      <c r="W332" s="155">
        <f t="shared" si="144"/>
        <v>4176</v>
      </c>
      <c r="X332" s="155">
        <f t="shared" si="144"/>
        <v>0</v>
      </c>
      <c r="Y332" s="155">
        <f t="shared" si="144"/>
        <v>19376</v>
      </c>
      <c r="Z332" s="155">
        <f t="shared" si="144"/>
        <v>190526</v>
      </c>
      <c r="AA332" s="155">
        <f t="shared" si="144"/>
        <v>0</v>
      </c>
      <c r="AB332" s="155">
        <f t="shared" si="144"/>
        <v>10884</v>
      </c>
      <c r="AC332" s="155">
        <f t="shared" si="144"/>
        <v>25667</v>
      </c>
      <c r="AD332" s="155" t="e">
        <f t="shared" si="144"/>
        <v>#REF!</v>
      </c>
      <c r="AE332" s="91" t="e">
        <f t="shared" si="141"/>
        <v>#REF!</v>
      </c>
    </row>
    <row r="333" spans="1:15" ht="9.75" customHeight="1">
      <c r="A333" s="53"/>
      <c r="B333" s="53"/>
      <c r="C333" s="53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</row>
    <row r="334" spans="2:30" s="134" customFormat="1" ht="12.75">
      <c r="B334" s="62"/>
      <c r="C334" s="62" t="s">
        <v>347</v>
      </c>
      <c r="D334" s="174" t="e">
        <f aca="true" t="shared" si="145" ref="D334:P334">D57-D332</f>
        <v>#REF!</v>
      </c>
      <c r="E334" s="174" t="e">
        <f t="shared" si="145"/>
        <v>#REF!</v>
      </c>
      <c r="F334" s="174" t="e">
        <f t="shared" si="145"/>
        <v>#REF!</v>
      </c>
      <c r="G334" s="174" t="e">
        <f t="shared" si="145"/>
        <v>#REF!</v>
      </c>
      <c r="H334" s="174" t="e">
        <f t="shared" si="145"/>
        <v>#REF!</v>
      </c>
      <c r="I334" s="174" t="e">
        <f t="shared" si="145"/>
        <v>#REF!</v>
      </c>
      <c r="J334" s="174" t="e">
        <f t="shared" si="145"/>
        <v>#REF!</v>
      </c>
      <c r="K334" s="174" t="e">
        <f t="shared" si="145"/>
        <v>#REF!</v>
      </c>
      <c r="L334" s="174" t="e">
        <f t="shared" si="145"/>
        <v>#REF!</v>
      </c>
      <c r="M334" s="174" t="e">
        <f t="shared" si="145"/>
        <v>#REF!</v>
      </c>
      <c r="N334" s="174" t="e">
        <f t="shared" si="145"/>
        <v>#REF!</v>
      </c>
      <c r="O334" s="174" t="e">
        <f t="shared" si="145"/>
        <v>#REF!</v>
      </c>
      <c r="P334" s="174" t="e">
        <f t="shared" si="145"/>
        <v>#REF!</v>
      </c>
      <c r="R334" s="174" t="e">
        <f aca="true" t="shared" si="146" ref="R334:AD334">R57-R332</f>
        <v>#REF!</v>
      </c>
      <c r="S334" s="248">
        <f t="shared" si="146"/>
        <v>307905</v>
      </c>
      <c r="T334" s="248">
        <f t="shared" si="146"/>
        <v>-5779</v>
      </c>
      <c r="U334" s="248">
        <f t="shared" si="146"/>
        <v>-103963</v>
      </c>
      <c r="V334" s="248">
        <f t="shared" si="146"/>
        <v>39459</v>
      </c>
      <c r="W334" s="248">
        <f t="shared" si="146"/>
        <v>-4176</v>
      </c>
      <c r="X334" s="248">
        <f t="shared" si="146"/>
        <v>0</v>
      </c>
      <c r="Y334" s="248">
        <f t="shared" si="146"/>
        <v>64665</v>
      </c>
      <c r="Z334" s="248">
        <f t="shared" si="146"/>
        <v>-190526</v>
      </c>
      <c r="AA334" s="248">
        <f t="shared" si="146"/>
        <v>0</v>
      </c>
      <c r="AB334" s="248">
        <f t="shared" si="146"/>
        <v>78690</v>
      </c>
      <c r="AC334" s="248">
        <f t="shared" si="146"/>
        <v>-25667</v>
      </c>
      <c r="AD334" s="174" t="e">
        <f t="shared" si="146"/>
        <v>#REF!</v>
      </c>
    </row>
    <row r="335" spans="1:16" ht="9" customHeight="1">
      <c r="A335" s="62"/>
      <c r="B335" s="57"/>
      <c r="C335" s="57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229" t="e">
        <f>P334-AD334</f>
        <v>#REF!</v>
      </c>
    </row>
    <row r="336" spans="1:15" ht="12.75">
      <c r="A336" s="62"/>
      <c r="B336" s="70"/>
      <c r="C336" s="57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</row>
    <row r="337" spans="1:30" ht="15">
      <c r="A337" s="4"/>
      <c r="B337" s="84"/>
      <c r="C337" s="262" t="s">
        <v>25</v>
      </c>
      <c r="D337" s="252"/>
      <c r="E337" s="252"/>
      <c r="F337" s="252"/>
      <c r="G337" s="252"/>
      <c r="H337" s="252"/>
      <c r="I337" s="252"/>
      <c r="J337" s="252"/>
      <c r="K337" s="252"/>
      <c r="L337" s="252"/>
      <c r="M337" s="252"/>
      <c r="N337" s="252"/>
      <c r="O337" s="252"/>
      <c r="P337" s="253"/>
      <c r="R337" s="85"/>
      <c r="AD337" s="85"/>
    </row>
    <row r="338" spans="1:16" ht="11.25" customHeight="1">
      <c r="A338" s="62"/>
      <c r="B338" s="70"/>
      <c r="C338" s="254"/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2"/>
      <c r="P338" s="255"/>
    </row>
    <row r="339" spans="3:29" ht="12.75">
      <c r="C339" s="256" t="s">
        <v>26</v>
      </c>
      <c r="D339" s="252">
        <v>536998</v>
      </c>
      <c r="E339" s="252" t="e">
        <f>D344</f>
        <v>#REF!</v>
      </c>
      <c r="F339" s="252" t="e">
        <f aca="true" t="shared" si="147" ref="F339:O339">E344</f>
        <v>#REF!</v>
      </c>
      <c r="G339" s="252" t="e">
        <f t="shared" si="147"/>
        <v>#REF!</v>
      </c>
      <c r="H339" s="252" t="e">
        <f t="shared" si="147"/>
        <v>#REF!</v>
      </c>
      <c r="I339" s="252" t="e">
        <f t="shared" si="147"/>
        <v>#REF!</v>
      </c>
      <c r="J339" s="252" t="e">
        <f t="shared" si="147"/>
        <v>#REF!</v>
      </c>
      <c r="K339" s="252" t="e">
        <f t="shared" si="147"/>
        <v>#REF!</v>
      </c>
      <c r="L339" s="252" t="e">
        <f t="shared" si="147"/>
        <v>#REF!</v>
      </c>
      <c r="M339" s="252" t="e">
        <f t="shared" si="147"/>
        <v>#REF!</v>
      </c>
      <c r="N339" s="252" t="e">
        <f t="shared" si="147"/>
        <v>#REF!</v>
      </c>
      <c r="O339" s="252" t="e">
        <f t="shared" si="147"/>
        <v>#REF!</v>
      </c>
      <c r="P339" s="257"/>
      <c r="V339" s="163"/>
      <c r="Z339" s="163"/>
      <c r="AC339" s="163"/>
    </row>
    <row r="340" spans="3:16" ht="12.75">
      <c r="C340" s="256"/>
      <c r="D340" s="252"/>
      <c r="E340" s="252"/>
      <c r="F340" s="252"/>
      <c r="G340" s="252"/>
      <c r="H340" s="252"/>
      <c r="I340" s="252"/>
      <c r="J340" s="252"/>
      <c r="K340" s="252"/>
      <c r="L340" s="252"/>
      <c r="M340" s="252"/>
      <c r="N340" s="252"/>
      <c r="O340" s="258"/>
      <c r="P340" s="259"/>
    </row>
    <row r="341" spans="3:16" ht="12.75">
      <c r="C341" s="256" t="s">
        <v>27</v>
      </c>
      <c r="D341" s="252" t="e">
        <f>D334</f>
        <v>#REF!</v>
      </c>
      <c r="E341" s="252" t="e">
        <f aca="true" t="shared" si="148" ref="E341:O341">E334</f>
        <v>#REF!</v>
      </c>
      <c r="F341" s="252" t="e">
        <f t="shared" si="148"/>
        <v>#REF!</v>
      </c>
      <c r="G341" s="252" t="e">
        <f t="shared" si="148"/>
        <v>#REF!</v>
      </c>
      <c r="H341" s="252" t="e">
        <f t="shared" si="148"/>
        <v>#REF!</v>
      </c>
      <c r="I341" s="252" t="e">
        <f t="shared" si="148"/>
        <v>#REF!</v>
      </c>
      <c r="J341" s="252" t="e">
        <f t="shared" si="148"/>
        <v>#REF!</v>
      </c>
      <c r="K341" s="252" t="e">
        <f t="shared" si="148"/>
        <v>#REF!</v>
      </c>
      <c r="L341" s="252" t="e">
        <f t="shared" si="148"/>
        <v>#REF!</v>
      </c>
      <c r="M341" s="252" t="e">
        <f t="shared" si="148"/>
        <v>#REF!</v>
      </c>
      <c r="N341" s="252" t="e">
        <f t="shared" si="148"/>
        <v>#REF!</v>
      </c>
      <c r="O341" s="252" t="e">
        <f t="shared" si="148"/>
        <v>#REF!</v>
      </c>
      <c r="P341" s="255"/>
    </row>
    <row r="342" spans="3:16" ht="12.75">
      <c r="C342" s="256" t="s">
        <v>28</v>
      </c>
      <c r="D342" s="260">
        <v>-30500</v>
      </c>
      <c r="E342" s="260"/>
      <c r="F342" s="260"/>
      <c r="G342" s="260"/>
      <c r="H342" s="260"/>
      <c r="I342" s="260"/>
      <c r="J342" s="260"/>
      <c r="K342" s="260"/>
      <c r="L342" s="260"/>
      <c r="M342" s="260"/>
      <c r="N342" s="260"/>
      <c r="O342" s="260"/>
      <c r="P342" s="255"/>
    </row>
    <row r="343" spans="3:16" ht="12.75">
      <c r="C343" s="256"/>
      <c r="D343" s="252"/>
      <c r="E343" s="252"/>
      <c r="F343" s="252"/>
      <c r="G343" s="252"/>
      <c r="H343" s="252"/>
      <c r="I343" s="252"/>
      <c r="J343" s="252"/>
      <c r="K343" s="252"/>
      <c r="L343" s="252"/>
      <c r="M343" s="252"/>
      <c r="N343" s="252"/>
      <c r="O343" s="252"/>
      <c r="P343" s="255"/>
    </row>
    <row r="344" spans="3:16" ht="13.5" thickBot="1">
      <c r="C344" s="256" t="s">
        <v>29</v>
      </c>
      <c r="D344" s="261" t="e">
        <f>SUM(D339:D343)</f>
        <v>#REF!</v>
      </c>
      <c r="E344" s="261" t="e">
        <f aca="true" t="shared" si="149" ref="E344:O344">SUM(E339:E343)</f>
        <v>#REF!</v>
      </c>
      <c r="F344" s="261" t="e">
        <f t="shared" si="149"/>
        <v>#REF!</v>
      </c>
      <c r="G344" s="261" t="e">
        <f t="shared" si="149"/>
        <v>#REF!</v>
      </c>
      <c r="H344" s="261" t="e">
        <f t="shared" si="149"/>
        <v>#REF!</v>
      </c>
      <c r="I344" s="261" t="e">
        <f t="shared" si="149"/>
        <v>#REF!</v>
      </c>
      <c r="J344" s="261" t="e">
        <f t="shared" si="149"/>
        <v>#REF!</v>
      </c>
      <c r="K344" s="261" t="e">
        <f t="shared" si="149"/>
        <v>#REF!</v>
      </c>
      <c r="L344" s="261" t="e">
        <f t="shared" si="149"/>
        <v>#REF!</v>
      </c>
      <c r="M344" s="261" t="e">
        <f t="shared" si="149"/>
        <v>#REF!</v>
      </c>
      <c r="N344" s="261" t="e">
        <f t="shared" si="149"/>
        <v>#REF!</v>
      </c>
      <c r="O344" s="261" t="e">
        <f t="shared" si="149"/>
        <v>#REF!</v>
      </c>
      <c r="P344" s="252"/>
    </row>
    <row r="345" spans="3:16" ht="13.5" thickTop="1">
      <c r="C345" s="255"/>
      <c r="D345" s="252"/>
      <c r="E345" s="252"/>
      <c r="F345" s="252"/>
      <c r="G345" s="252"/>
      <c r="H345" s="252"/>
      <c r="I345" s="252"/>
      <c r="J345" s="252"/>
      <c r="K345" s="252"/>
      <c r="L345" s="252"/>
      <c r="M345" s="252"/>
      <c r="N345" s="252"/>
      <c r="O345" s="252"/>
      <c r="P345" s="255"/>
    </row>
    <row r="346" spans="4:15" ht="12.75"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</row>
    <row r="347" spans="4:15" ht="12.75"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</row>
    <row r="348" spans="4:15" ht="12.75"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</row>
    <row r="349" spans="4:15" ht="12.75"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</row>
    <row r="350" spans="4:15" ht="12.75"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</row>
    <row r="351" spans="4:15" ht="12.75"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</row>
    <row r="352" spans="4:15" ht="12.75"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</row>
    <row r="353" spans="4:15" ht="12.75"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</row>
    <row r="354" spans="4:15" ht="12.75"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</row>
    <row r="355" spans="4:15" ht="12.75"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</row>
    <row r="356" spans="4:15" ht="12.75"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</row>
    <row r="357" spans="4:15" ht="12.75"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</row>
    <row r="358" spans="4:15" ht="12.75"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</row>
    <row r="359" spans="4:15" ht="12.75"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</row>
    <row r="360" spans="4:15" ht="12.75"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</row>
    <row r="361" spans="4:15" ht="12.75"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</row>
    <row r="362" spans="4:15" ht="12.75"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</row>
    <row r="363" spans="4:15" ht="12.75"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</row>
    <row r="364" spans="4:15" ht="12.75"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</row>
    <row r="365" spans="4:15" ht="12.75"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</row>
    <row r="366" spans="4:15" ht="12.75"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</row>
    <row r="367" spans="4:15" ht="12.75"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</row>
    <row r="368" spans="4:15" ht="12.75"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</row>
    <row r="369" spans="4:15" ht="12.75"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</row>
    <row r="370" spans="4:15" ht="12.75"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</row>
    <row r="371" spans="4:15" ht="12.75"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</row>
    <row r="372" spans="4:15" ht="12.75"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</row>
    <row r="373" spans="4:15" ht="12.75"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</row>
    <row r="374" spans="4:15" ht="12.75"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</row>
    <row r="375" spans="4:15" ht="12.75"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</row>
    <row r="376" spans="4:15" ht="12.75"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</row>
    <row r="377" spans="4:15" ht="12.75"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</row>
    <row r="378" spans="4:15" ht="12.75"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</row>
    <row r="379" spans="4:15" ht="12.75"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</row>
    <row r="380" spans="4:15" ht="12.75"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</row>
    <row r="381" spans="4:15" ht="12.75"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</row>
    <row r="382" spans="4:15" ht="12.75"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</row>
    <row r="383" spans="4:15" ht="12.75"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</row>
  </sheetData>
  <sheetProtection/>
  <printOptions/>
  <pageMargins left="0.34" right="0.3" top="0.33" bottom="0.29" header="0.16" footer="0.19"/>
  <pageSetup horizontalDpi="600" verticalDpi="600" orientation="landscape" scale="80"/>
  <headerFooter alignWithMargins="0">
    <oddHeader>&amp;C&amp;"Arial,Bold"McDonogh City Park Academy FY09-10 Budget</oddHeader>
  </headerFooter>
  <ignoredErrors>
    <ignoredError sqref="D76:P76 R76 AD76" evalErro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62"/>
  <sheetViews>
    <sheetView tabSelected="1" zoomScalePageLayoutView="0" workbookViewId="0" topLeftCell="A1">
      <selection activeCell="B4" sqref="B4"/>
    </sheetView>
  </sheetViews>
  <sheetFormatPr defaultColWidth="8.8515625" defaultRowHeight="12.75" outlineLevelRow="1"/>
  <cols>
    <col min="1" max="1" width="4.00390625" style="134" customWidth="1"/>
    <col min="2" max="2" width="22.140625" style="0" customWidth="1"/>
    <col min="3" max="5" width="11.00390625" style="0" customWidth="1"/>
    <col min="6" max="6" width="10.421875" style="0" bestFit="1" customWidth="1"/>
    <col min="7" max="7" width="10.421875" style="0" customWidth="1"/>
    <col min="8" max="8" width="11.421875" style="0" bestFit="1" customWidth="1"/>
    <col min="9" max="9" width="10.421875" style="0" bestFit="1" customWidth="1"/>
    <col min="10" max="10" width="9.421875" style="0" customWidth="1"/>
    <col min="11" max="11" width="9.28125" style="0" bestFit="1" customWidth="1"/>
    <col min="12" max="12" width="11.421875" style="0" bestFit="1" customWidth="1"/>
    <col min="13" max="13" width="10.421875" style="0" hidden="1" customWidth="1"/>
    <col min="14" max="14" width="2.7109375" style="0" hidden="1" customWidth="1"/>
    <col min="15" max="15" width="11.00390625" style="0" hidden="1" customWidth="1"/>
    <col min="16" max="16" width="11.8515625" style="0" hidden="1" customWidth="1"/>
    <col min="17" max="17" width="44.140625" style="0" hidden="1" customWidth="1"/>
    <col min="18" max="18" width="12.8515625" style="0" hidden="1" customWidth="1"/>
    <col min="19" max="20" width="11.28125" style="0" hidden="1" customWidth="1"/>
  </cols>
  <sheetData>
    <row r="1" spans="1:12" ht="26.25">
      <c r="A1" s="349" t="s">
        <v>572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 ht="18">
      <c r="A2" s="350" t="s">
        <v>682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ht="12.75"/>
    <row r="4" spans="3:16" ht="46.5" customHeight="1" thickBot="1">
      <c r="C4" s="264" t="s">
        <v>33</v>
      </c>
      <c r="D4" s="264" t="s">
        <v>711</v>
      </c>
      <c r="E4" s="346" t="s">
        <v>92</v>
      </c>
      <c r="F4" s="338" t="s">
        <v>34</v>
      </c>
      <c r="G4" s="338" t="s">
        <v>700</v>
      </c>
      <c r="H4" s="264" t="s">
        <v>585</v>
      </c>
      <c r="I4" s="264" t="s">
        <v>504</v>
      </c>
      <c r="J4" s="264" t="s">
        <v>17</v>
      </c>
      <c r="K4" s="264" t="s">
        <v>35</v>
      </c>
      <c r="L4" s="264" t="s">
        <v>36</v>
      </c>
      <c r="M4" s="265"/>
      <c r="N4" s="265"/>
      <c r="O4" s="264" t="s">
        <v>631</v>
      </c>
      <c r="P4" s="264" t="s">
        <v>615</v>
      </c>
    </row>
    <row r="5" spans="2:16" ht="19.5" customHeight="1">
      <c r="B5" s="4" t="s">
        <v>697</v>
      </c>
      <c r="C5" s="272">
        <f>Assumptions!E29</f>
        <v>2940833</v>
      </c>
      <c r="D5" s="272">
        <f>50*Assumptions!E3</f>
        <v>19750</v>
      </c>
      <c r="E5" s="272">
        <v>13143.31</v>
      </c>
      <c r="F5" s="86">
        <v>81353</v>
      </c>
      <c r="G5" s="86">
        <v>907</v>
      </c>
      <c r="H5" s="86">
        <f>340619+29933</f>
        <v>370552</v>
      </c>
      <c r="I5" s="86">
        <f>59866/2</f>
        <v>29933</v>
      </c>
      <c r="J5" s="86">
        <f>610930+367-1436-584</f>
        <v>609277</v>
      </c>
      <c r="K5" s="86">
        <v>995</v>
      </c>
      <c r="L5" s="86">
        <f>SUM(C5:K5)</f>
        <v>4066743.31</v>
      </c>
      <c r="M5" s="307" t="s">
        <v>617</v>
      </c>
      <c r="N5" s="307"/>
      <c r="O5" s="86"/>
      <c r="P5" s="86"/>
    </row>
    <row r="6" spans="1:16" s="163" customFormat="1" ht="19.5" customHeight="1">
      <c r="A6" s="331"/>
      <c r="B6" s="163" t="s">
        <v>37</v>
      </c>
      <c r="F6" s="339">
        <v>6413</v>
      </c>
      <c r="G6" s="339"/>
      <c r="H6" s="340">
        <v>62403</v>
      </c>
      <c r="I6" s="340">
        <v>2621</v>
      </c>
      <c r="J6" s="339"/>
      <c r="K6" s="339"/>
      <c r="L6" s="339">
        <f>SUM(C6:K6)</f>
        <v>71437</v>
      </c>
      <c r="M6" s="341"/>
      <c r="N6" s="341"/>
      <c r="O6" s="339"/>
      <c r="P6" s="339"/>
    </row>
    <row r="7" spans="2:16" ht="19.5" customHeight="1">
      <c r="B7" s="4" t="s">
        <v>514</v>
      </c>
      <c r="C7" s="272">
        <v>15000</v>
      </c>
      <c r="D7" s="272"/>
      <c r="E7" s="272"/>
      <c r="F7" s="86"/>
      <c r="G7" s="86"/>
      <c r="H7" s="86"/>
      <c r="I7" s="86"/>
      <c r="J7" s="86"/>
      <c r="K7" s="86"/>
      <c r="L7" s="339">
        <f>SUM(C7:K7)</f>
        <v>15000</v>
      </c>
      <c r="M7" s="307"/>
      <c r="N7" s="307"/>
      <c r="O7" s="86"/>
      <c r="P7" s="86"/>
    </row>
    <row r="8" spans="2:16" ht="19.5" customHeight="1">
      <c r="B8" s="4" t="s">
        <v>712</v>
      </c>
      <c r="C8" s="272">
        <v>2000</v>
      </c>
      <c r="D8" s="272"/>
      <c r="E8" s="272"/>
      <c r="F8" s="86"/>
      <c r="G8" s="86"/>
      <c r="H8" s="86"/>
      <c r="I8" s="86"/>
      <c r="J8" s="86"/>
      <c r="K8" s="86"/>
      <c r="L8" s="339">
        <f>SUM(C8:K8)</f>
        <v>2000</v>
      </c>
      <c r="M8" s="307"/>
      <c r="N8" s="307"/>
      <c r="O8" s="86"/>
      <c r="P8" s="86"/>
    </row>
    <row r="9" spans="2:16" ht="19.5" customHeight="1">
      <c r="B9" t="s">
        <v>38</v>
      </c>
      <c r="C9" s="266">
        <f aca="true" t="shared" si="0" ref="C9:L9">SUM(C5:C8)</f>
        <v>2957833</v>
      </c>
      <c r="D9" s="266">
        <f t="shared" si="0"/>
        <v>19750</v>
      </c>
      <c r="E9" s="266">
        <f t="shared" si="0"/>
        <v>13143.31</v>
      </c>
      <c r="F9" s="266">
        <f t="shared" si="0"/>
        <v>87766</v>
      </c>
      <c r="G9" s="266">
        <f t="shared" si="0"/>
        <v>907</v>
      </c>
      <c r="H9" s="266">
        <f t="shared" si="0"/>
        <v>432955</v>
      </c>
      <c r="I9" s="266">
        <f t="shared" si="0"/>
        <v>32554</v>
      </c>
      <c r="J9" s="266">
        <f t="shared" si="0"/>
        <v>609277</v>
      </c>
      <c r="K9" s="266">
        <f t="shared" si="0"/>
        <v>995</v>
      </c>
      <c r="L9" s="266">
        <f t="shared" si="0"/>
        <v>4155180.31</v>
      </c>
      <c r="O9" s="86"/>
      <c r="P9" s="86"/>
    </row>
    <row r="10" spans="3:16" ht="19.5" customHeight="1"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O10" s="86"/>
      <c r="P10" s="86"/>
    </row>
    <row r="11" spans="3:17" ht="19.5" customHeight="1" hidden="1" outlineLevel="1">
      <c r="C11" s="269">
        <f>+Staffing!O117</f>
        <v>1450511</v>
      </c>
      <c r="D11" s="269">
        <f>+Staffing!S117</f>
        <v>15680</v>
      </c>
      <c r="E11" s="269"/>
      <c r="F11" s="269">
        <f>+Staffing!U117</f>
        <v>48609</v>
      </c>
      <c r="G11" s="269"/>
      <c r="H11" s="269">
        <f>+Staffing!P117</f>
        <v>223974</v>
      </c>
      <c r="I11" s="269">
        <f>+Staffing!R117</f>
        <v>0</v>
      </c>
      <c r="J11" s="269">
        <f>Staffing!V117+Staffing!W117</f>
        <v>415710</v>
      </c>
      <c r="K11" s="269">
        <v>798</v>
      </c>
      <c r="L11" s="269">
        <f>SUM(C11:K11)</f>
        <v>2155282</v>
      </c>
      <c r="M11" s="86"/>
      <c r="N11" s="86"/>
      <c r="O11" s="86"/>
      <c r="P11" s="86"/>
      <c r="Q11" s="89"/>
    </row>
    <row r="12" spans="2:17" ht="19.5" customHeight="1" hidden="1" outlineLevel="1">
      <c r="B12" s="4" t="s">
        <v>702</v>
      </c>
      <c r="C12" s="269"/>
      <c r="D12" s="269"/>
      <c r="E12" s="269"/>
      <c r="F12" s="269"/>
      <c r="G12" s="269"/>
      <c r="H12" s="269"/>
      <c r="I12" s="269">
        <v>5000</v>
      </c>
      <c r="J12" s="269"/>
      <c r="K12" s="269"/>
      <c r="L12" s="269">
        <f>SUM(C12:K12)</f>
        <v>5000</v>
      </c>
      <c r="M12" s="86"/>
      <c r="N12" s="86"/>
      <c r="O12" s="86"/>
      <c r="P12" s="86"/>
      <c r="Q12" s="89"/>
    </row>
    <row r="13" spans="3:17" ht="19.5" customHeight="1" hidden="1" outlineLevel="1">
      <c r="C13" s="269"/>
      <c r="D13" s="269"/>
      <c r="E13" s="269"/>
      <c r="F13" s="269"/>
      <c r="G13" s="269"/>
      <c r="H13" s="269"/>
      <c r="I13" s="269"/>
      <c r="J13" s="269"/>
      <c r="K13" s="269"/>
      <c r="L13" s="269">
        <f>SUM(C13:K13)</f>
        <v>0</v>
      </c>
      <c r="M13" s="86"/>
      <c r="N13" s="86"/>
      <c r="O13" s="86"/>
      <c r="P13" s="86"/>
      <c r="Q13" s="89"/>
    </row>
    <row r="14" spans="1:18" ht="19.5" customHeight="1" collapsed="1">
      <c r="A14" s="134">
        <v>100</v>
      </c>
      <c r="B14" s="4" t="s">
        <v>54</v>
      </c>
      <c r="C14" s="86">
        <f aca="true" t="shared" si="1" ref="C14:L14">SUM(C11:C13)</f>
        <v>1450511</v>
      </c>
      <c r="D14" s="86">
        <f t="shared" si="1"/>
        <v>15680</v>
      </c>
      <c r="E14" s="86"/>
      <c r="F14" s="86">
        <f t="shared" si="1"/>
        <v>48609</v>
      </c>
      <c r="G14" s="86">
        <f t="shared" si="1"/>
        <v>0</v>
      </c>
      <c r="H14" s="86">
        <f t="shared" si="1"/>
        <v>223974</v>
      </c>
      <c r="I14" s="86">
        <f t="shared" si="1"/>
        <v>5000</v>
      </c>
      <c r="J14" s="86">
        <f t="shared" si="1"/>
        <v>415710</v>
      </c>
      <c r="K14" s="86">
        <f t="shared" si="1"/>
        <v>798</v>
      </c>
      <c r="L14" s="86">
        <f t="shared" si="1"/>
        <v>2160282</v>
      </c>
      <c r="M14" s="289">
        <f>+Staffing!E117+Staffing!D117-L14</f>
        <v>-5798</v>
      </c>
      <c r="N14" s="270"/>
      <c r="O14" s="297">
        <v>1866272</v>
      </c>
      <c r="P14" s="295">
        <f>+L14-O14</f>
        <v>294010</v>
      </c>
      <c r="Q14" s="296" t="s">
        <v>632</v>
      </c>
      <c r="R14" s="99"/>
    </row>
    <row r="15" spans="3:19" ht="19.5" customHeight="1" hidden="1" outlineLevel="1"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70"/>
      <c r="N15" s="270"/>
      <c r="O15" s="297"/>
      <c r="P15" s="295"/>
      <c r="Q15" s="89"/>
      <c r="R15" s="318" t="s">
        <v>645</v>
      </c>
      <c r="S15" s="4" t="s">
        <v>646</v>
      </c>
    </row>
    <row r="16" spans="2:20" ht="19.5" customHeight="1" hidden="1" outlineLevel="1">
      <c r="B16" t="s">
        <v>352</v>
      </c>
      <c r="C16" s="269">
        <f>+Staffing!O120+2227</f>
        <v>330097.27</v>
      </c>
      <c r="D16" s="269">
        <f>+D14*24.5%</f>
        <v>3841.6</v>
      </c>
      <c r="E16" s="269"/>
      <c r="F16" s="269">
        <f>+F14*24.5%</f>
        <v>11909.205</v>
      </c>
      <c r="G16" s="269"/>
      <c r="H16" s="269">
        <f>+Staffing!P120</f>
        <v>36042.93</v>
      </c>
      <c r="I16" s="269">
        <f>+I14*25.95%</f>
        <v>1297.5</v>
      </c>
      <c r="J16" s="269">
        <f>+Staffing!V120+Staffing!W120</f>
        <v>101052.7</v>
      </c>
      <c r="K16" s="292">
        <v>197</v>
      </c>
      <c r="L16" s="269">
        <f aca="true" t="shared" si="2" ref="L16:L21">SUM(C16:K16)</f>
        <v>484438.205</v>
      </c>
      <c r="M16" s="289">
        <f>Staffing!F117</f>
        <v>484438.30499999993</v>
      </c>
      <c r="N16" s="289"/>
      <c r="O16" s="297">
        <f aca="true" t="shared" si="3" ref="O16:O21">M16-L16</f>
        <v>0.09999999991850927</v>
      </c>
      <c r="P16" s="294"/>
      <c r="R16" s="99">
        <f aca="true" t="shared" si="4" ref="R16:R21">+C16</f>
        <v>330097.27</v>
      </c>
      <c r="S16" s="219">
        <f aca="true" t="shared" si="5" ref="S16:S21">+L16-R16</f>
        <v>154340.935</v>
      </c>
      <c r="T16" s="219"/>
    </row>
    <row r="17" spans="2:19" ht="19.5" customHeight="1" hidden="1" outlineLevel="1">
      <c r="B17" t="s">
        <v>112</v>
      </c>
      <c r="C17" s="269">
        <f>+Staffing!J119-224+1240</f>
        <v>117807.48999999999</v>
      </c>
      <c r="D17" s="269">
        <v>224</v>
      </c>
      <c r="E17" s="269"/>
      <c r="F17" s="269">
        <v>5108</v>
      </c>
      <c r="G17" s="269"/>
      <c r="H17" s="269">
        <f>(5108*3)</f>
        <v>15324</v>
      </c>
      <c r="I17" s="269"/>
      <c r="J17" s="269">
        <f>5108*6</f>
        <v>30648</v>
      </c>
      <c r="K17" s="269"/>
      <c r="L17" s="269">
        <f t="shared" si="2"/>
        <v>169111.49</v>
      </c>
      <c r="M17" s="270">
        <f>Staffing!J117</f>
        <v>171341.49</v>
      </c>
      <c r="N17" s="270"/>
      <c r="O17" s="297">
        <f t="shared" si="3"/>
        <v>2230</v>
      </c>
      <c r="P17" s="295"/>
      <c r="R17" s="99">
        <f t="shared" si="4"/>
        <v>117807.48999999999</v>
      </c>
      <c r="S17" s="219">
        <f t="shared" si="5"/>
        <v>51304</v>
      </c>
    </row>
    <row r="18" spans="2:19" ht="19.5" customHeight="1" hidden="1" outlineLevel="1">
      <c r="B18" t="s">
        <v>469</v>
      </c>
      <c r="C18" s="269">
        <f>477.4*29-4+477</f>
        <v>14317.599999999999</v>
      </c>
      <c r="D18" s="269">
        <v>4</v>
      </c>
      <c r="E18" s="269"/>
      <c r="F18" s="269">
        <v>477.4</v>
      </c>
      <c r="G18" s="269"/>
      <c r="H18" s="269">
        <f>477.4*6</f>
        <v>2864.3999999999996</v>
      </c>
      <c r="I18" s="269"/>
      <c r="J18" s="269">
        <f>477.4*6</f>
        <v>2864.3999999999996</v>
      </c>
      <c r="K18" s="269"/>
      <c r="L18" s="269">
        <f t="shared" si="2"/>
        <v>20527.799999999996</v>
      </c>
      <c r="M18" s="270">
        <f>Staffing!M117-F18</f>
        <v>20050.799999999996</v>
      </c>
      <c r="N18" s="270"/>
      <c r="O18" s="297">
        <f t="shared" si="3"/>
        <v>-477</v>
      </c>
      <c r="P18" s="295"/>
      <c r="R18" s="99">
        <f t="shared" si="4"/>
        <v>14317.599999999999</v>
      </c>
      <c r="S18" s="219">
        <f t="shared" si="5"/>
        <v>6210.199999999997</v>
      </c>
    </row>
    <row r="19" spans="2:19" ht="19.5" customHeight="1" hidden="1" outlineLevel="1">
      <c r="B19" t="s">
        <v>609</v>
      </c>
      <c r="C19" s="269">
        <f>+C14*2.7%+423</f>
        <v>39586.797000000006</v>
      </c>
      <c r="D19" s="269"/>
      <c r="E19" s="269"/>
      <c r="F19" s="269">
        <f>+F14*2.7%</f>
        <v>1312.4430000000002</v>
      </c>
      <c r="G19" s="269"/>
      <c r="H19" s="269">
        <f>+H14*2.7%</f>
        <v>6047.298000000001</v>
      </c>
      <c r="I19" s="269"/>
      <c r="J19" s="269">
        <f>+J14*2.7%</f>
        <v>11224.170000000002</v>
      </c>
      <c r="K19" s="269"/>
      <c r="L19" s="269">
        <f t="shared" si="2"/>
        <v>58170.70800000001</v>
      </c>
      <c r="M19" s="270">
        <f>Staffing!H117</f>
        <v>58171.06800000001</v>
      </c>
      <c r="N19" s="270"/>
      <c r="O19" s="297">
        <f t="shared" si="3"/>
        <v>0.3599999999933061</v>
      </c>
      <c r="P19" s="295"/>
      <c r="R19" s="99">
        <f t="shared" si="4"/>
        <v>39586.797000000006</v>
      </c>
      <c r="S19" s="219">
        <f t="shared" si="5"/>
        <v>18583.911000000007</v>
      </c>
    </row>
    <row r="20" spans="2:19" ht="19.5" customHeight="1" hidden="1" outlineLevel="1">
      <c r="B20" s="4" t="s">
        <v>457</v>
      </c>
      <c r="C20" s="269">
        <f>+Staffing!O122</f>
        <v>5988.2699999999995</v>
      </c>
      <c r="D20" s="269"/>
      <c r="E20" s="269"/>
      <c r="F20" s="269"/>
      <c r="G20" s="269"/>
      <c r="H20" s="269">
        <f>+Staffing!P122</f>
        <v>4765.32</v>
      </c>
      <c r="I20" s="269"/>
      <c r="J20" s="269">
        <f>+Staffing!W122</f>
        <v>201.5</v>
      </c>
      <c r="K20" s="269"/>
      <c r="L20" s="269">
        <f t="shared" si="2"/>
        <v>10955.09</v>
      </c>
      <c r="M20" s="270">
        <f>Staffing!G117</f>
        <v>10955.09</v>
      </c>
      <c r="N20" s="270"/>
      <c r="O20" s="297">
        <f t="shared" si="3"/>
        <v>0</v>
      </c>
      <c r="P20" s="295"/>
      <c r="R20" s="99">
        <f t="shared" si="4"/>
        <v>5988.2699999999995</v>
      </c>
      <c r="S20" s="219">
        <f t="shared" si="5"/>
        <v>4966.820000000001</v>
      </c>
    </row>
    <row r="21" spans="2:19" ht="19.5" customHeight="1" hidden="1" outlineLevel="1">
      <c r="B21" t="s">
        <v>610</v>
      </c>
      <c r="C21" s="269">
        <f>32670-H21-J21-F21</f>
        <v>19800</v>
      </c>
      <c r="D21" s="269"/>
      <c r="E21" s="269"/>
      <c r="F21" s="269">
        <v>990</v>
      </c>
      <c r="G21" s="269"/>
      <c r="H21" s="269">
        <f>(990*6)</f>
        <v>5940</v>
      </c>
      <c r="I21" s="269"/>
      <c r="J21" s="269">
        <f>990*6</f>
        <v>5940</v>
      </c>
      <c r="K21" s="269"/>
      <c r="L21" s="269">
        <f t="shared" si="2"/>
        <v>32670</v>
      </c>
      <c r="M21" s="300">
        <f>+Staffing!I117</f>
        <v>32670</v>
      </c>
      <c r="N21" s="300"/>
      <c r="O21" s="297">
        <f t="shared" si="3"/>
        <v>0</v>
      </c>
      <c r="P21" s="294"/>
      <c r="R21" s="99">
        <f t="shared" si="4"/>
        <v>19800</v>
      </c>
      <c r="S21" s="219">
        <f t="shared" si="5"/>
        <v>12870</v>
      </c>
    </row>
    <row r="22" spans="1:19" ht="19.5" customHeight="1" collapsed="1">
      <c r="A22" s="134">
        <v>200</v>
      </c>
      <c r="B22" s="4" t="s">
        <v>55</v>
      </c>
      <c r="C22" s="86">
        <f>SUM(C15:C21)</f>
        <v>527597.427</v>
      </c>
      <c r="D22" s="86">
        <f>SUM(D15:D21)</f>
        <v>4069.6</v>
      </c>
      <c r="E22" s="86"/>
      <c r="F22" s="86">
        <f aca="true" t="shared" si="6" ref="F22:L22">SUM(F15:F21)</f>
        <v>19797.048000000003</v>
      </c>
      <c r="G22" s="86">
        <f t="shared" si="6"/>
        <v>0</v>
      </c>
      <c r="H22" s="86">
        <f t="shared" si="6"/>
        <v>70983.948</v>
      </c>
      <c r="I22" s="86">
        <f t="shared" si="6"/>
        <v>1297.5</v>
      </c>
      <c r="J22" s="86">
        <f t="shared" si="6"/>
        <v>151930.77000000002</v>
      </c>
      <c r="K22" s="86">
        <f t="shared" si="6"/>
        <v>197</v>
      </c>
      <c r="L22" s="86">
        <f t="shared" si="6"/>
        <v>775873.2930000001</v>
      </c>
      <c r="M22" s="299"/>
      <c r="N22" s="299"/>
      <c r="O22" s="297">
        <v>553379.36</v>
      </c>
      <c r="P22" s="295">
        <f>+L22-O22</f>
        <v>222493.93300000008</v>
      </c>
      <c r="Q22" s="164" t="s">
        <v>638</v>
      </c>
      <c r="R22" s="302"/>
      <c r="S22" s="219"/>
    </row>
    <row r="23" spans="3:16" ht="19.5" customHeight="1" hidden="1" outlineLevel="1">
      <c r="C23" s="269">
        <f>'Contract Summary'!S111</f>
        <v>220548.12</v>
      </c>
      <c r="D23" s="269"/>
      <c r="E23" s="269"/>
      <c r="F23" s="269">
        <f>'Contract Summary'!W111</f>
        <v>11215</v>
      </c>
      <c r="G23" s="269"/>
      <c r="H23" s="269">
        <f>'Contract Summary'!Z111</f>
        <v>50379</v>
      </c>
      <c r="I23" s="269">
        <f>+'Contract Summary'!AB111</f>
        <v>500</v>
      </c>
      <c r="J23" s="269"/>
      <c r="K23" s="269"/>
      <c r="L23" s="269">
        <f>SUM(C23:K23)</f>
        <v>282642.12</v>
      </c>
      <c r="M23" s="290"/>
      <c r="N23" s="290"/>
      <c r="O23" s="297"/>
      <c r="P23" s="295"/>
    </row>
    <row r="24" spans="3:16" ht="19.5" customHeight="1" hidden="1" outlineLevel="1">
      <c r="C24" s="269"/>
      <c r="D24" s="269"/>
      <c r="E24" s="269"/>
      <c r="F24" s="269">
        <v>223</v>
      </c>
      <c r="G24" s="269"/>
      <c r="H24" s="269"/>
      <c r="I24" s="269">
        <v>-0.5</v>
      </c>
      <c r="J24" s="269"/>
      <c r="K24" s="269"/>
      <c r="L24" s="269">
        <f>SUM(C24:K24)</f>
        <v>222.5</v>
      </c>
      <c r="M24" s="86"/>
      <c r="N24" s="86"/>
      <c r="O24" s="297"/>
      <c r="P24" s="295"/>
    </row>
    <row r="25" spans="3:16" ht="19.5" customHeight="1" hidden="1" outlineLevel="1">
      <c r="C25" s="269"/>
      <c r="D25" s="269"/>
      <c r="E25" s="269"/>
      <c r="F25" s="269"/>
      <c r="G25" s="269"/>
      <c r="H25" s="269"/>
      <c r="I25" s="269"/>
      <c r="J25" s="269"/>
      <c r="K25" s="269"/>
      <c r="L25" s="269">
        <f>SUM(C25:K25)</f>
        <v>0</v>
      </c>
      <c r="M25" s="86"/>
      <c r="N25" s="86"/>
      <c r="O25" s="297"/>
      <c r="P25" s="295"/>
    </row>
    <row r="26" spans="1:17" ht="19.5" customHeight="1" collapsed="1">
      <c r="A26" s="134">
        <v>300</v>
      </c>
      <c r="B26" s="4" t="s">
        <v>61</v>
      </c>
      <c r="C26" s="86">
        <f aca="true" t="shared" si="7" ref="C26:L26">SUM(C23:C25)</f>
        <v>220548.12</v>
      </c>
      <c r="D26" s="86">
        <f t="shared" si="7"/>
        <v>0</v>
      </c>
      <c r="E26" s="86"/>
      <c r="F26" s="86">
        <f t="shared" si="7"/>
        <v>11438</v>
      </c>
      <c r="G26" s="86">
        <f t="shared" si="7"/>
        <v>0</v>
      </c>
      <c r="H26" s="86">
        <f t="shared" si="7"/>
        <v>50379</v>
      </c>
      <c r="I26" s="86">
        <f t="shared" si="7"/>
        <v>499.5</v>
      </c>
      <c r="J26" s="86">
        <f t="shared" si="7"/>
        <v>0</v>
      </c>
      <c r="K26" s="86">
        <f t="shared" si="7"/>
        <v>0</v>
      </c>
      <c r="L26" s="86">
        <f t="shared" si="7"/>
        <v>282864.62</v>
      </c>
      <c r="O26" s="297">
        <v>412688.33</v>
      </c>
      <c r="P26" s="295">
        <f>+L26-O26</f>
        <v>-129823.71000000002</v>
      </c>
      <c r="Q26" s="4" t="s">
        <v>633</v>
      </c>
    </row>
    <row r="27" spans="2:16" ht="19.5" customHeight="1" hidden="1" outlineLevel="1">
      <c r="B27" s="4"/>
      <c r="C27" s="269"/>
      <c r="D27" s="269"/>
      <c r="E27" s="269"/>
      <c r="F27" s="269"/>
      <c r="G27" s="269"/>
      <c r="H27" s="269"/>
      <c r="I27" s="269"/>
      <c r="J27" s="269"/>
      <c r="K27" s="269"/>
      <c r="L27" s="269">
        <f>SUM(C27:K27)</f>
        <v>0</v>
      </c>
      <c r="M27" s="86"/>
      <c r="N27" s="86"/>
      <c r="O27" s="297"/>
      <c r="P27" s="295"/>
    </row>
    <row r="28" spans="2:16" ht="19.5" customHeight="1" hidden="1" outlineLevel="1">
      <c r="B28" t="s">
        <v>671</v>
      </c>
      <c r="C28" s="269"/>
      <c r="D28" s="269"/>
      <c r="E28" s="269"/>
      <c r="F28" s="269">
        <v>0</v>
      </c>
      <c r="G28" s="269"/>
      <c r="H28" s="269"/>
      <c r="I28" s="269"/>
      <c r="J28" s="269"/>
      <c r="K28" s="269"/>
      <c r="L28" s="269">
        <f>SUM(C28:K28)</f>
        <v>0</v>
      </c>
      <c r="M28" s="86"/>
      <c r="N28" s="86"/>
      <c r="O28" s="297"/>
      <c r="P28" s="295"/>
    </row>
    <row r="29" spans="3:16" ht="19.5" customHeight="1" hidden="1" outlineLevel="1">
      <c r="C29" s="269">
        <f>'Contract Summary'!T111</f>
        <v>159532</v>
      </c>
      <c r="D29" s="269"/>
      <c r="E29" s="269"/>
      <c r="F29" s="269"/>
      <c r="G29" s="269"/>
      <c r="H29" s="269"/>
      <c r="I29" s="269"/>
      <c r="J29" s="269"/>
      <c r="K29" s="269"/>
      <c r="L29" s="269">
        <f>SUM(C29:K29)</f>
        <v>159532</v>
      </c>
      <c r="M29" s="86"/>
      <c r="N29" s="86"/>
      <c r="O29" s="297"/>
      <c r="P29" s="295"/>
    </row>
    <row r="30" spans="1:17" ht="19.5" customHeight="1" collapsed="1">
      <c r="A30" s="134">
        <v>400</v>
      </c>
      <c r="B30" s="4" t="s">
        <v>60</v>
      </c>
      <c r="C30" s="86">
        <f aca="true" t="shared" si="8" ref="C30:L30">SUM(C27:C29)</f>
        <v>159532</v>
      </c>
      <c r="D30" s="86">
        <f t="shared" si="8"/>
        <v>0</v>
      </c>
      <c r="E30" s="86"/>
      <c r="F30" s="86">
        <f t="shared" si="8"/>
        <v>0</v>
      </c>
      <c r="G30" s="86">
        <f t="shared" si="8"/>
        <v>0</v>
      </c>
      <c r="H30" s="86">
        <f t="shared" si="8"/>
        <v>0</v>
      </c>
      <c r="I30" s="86">
        <f t="shared" si="8"/>
        <v>0</v>
      </c>
      <c r="J30" s="86">
        <f t="shared" si="8"/>
        <v>0</v>
      </c>
      <c r="K30" s="86">
        <f t="shared" si="8"/>
        <v>0</v>
      </c>
      <c r="L30" s="86">
        <f t="shared" si="8"/>
        <v>159532</v>
      </c>
      <c r="M30" s="86"/>
      <c r="N30" s="86"/>
      <c r="O30" s="297">
        <v>352298.48</v>
      </c>
      <c r="P30" s="295">
        <f>+L30-O30</f>
        <v>-192766.47999999998</v>
      </c>
      <c r="Q30" s="4" t="s">
        <v>634</v>
      </c>
    </row>
    <row r="31" spans="2:16" ht="19.5" customHeight="1" hidden="1" outlineLevel="1">
      <c r="B31" s="4"/>
      <c r="C31" s="269"/>
      <c r="D31" s="269"/>
      <c r="E31" s="269"/>
      <c r="F31" s="269"/>
      <c r="G31" s="269"/>
      <c r="H31" s="269"/>
      <c r="I31" s="269"/>
      <c r="J31" s="269"/>
      <c r="K31" s="269"/>
      <c r="L31" s="269">
        <f>SUM(C31:K31)</f>
        <v>0</v>
      </c>
      <c r="M31" s="86"/>
      <c r="N31" s="86"/>
      <c r="O31" s="297"/>
      <c r="P31" s="295"/>
    </row>
    <row r="32" spans="3:16" ht="19.5" customHeight="1" hidden="1" outlineLevel="1">
      <c r="C32" s="269">
        <f>'Contract Summary'!U111</f>
        <v>549404</v>
      </c>
      <c r="D32" s="269"/>
      <c r="E32" s="269"/>
      <c r="F32" s="269"/>
      <c r="G32" s="269"/>
      <c r="H32" s="269">
        <f>'Contract Summary'!AA111</f>
        <v>57363</v>
      </c>
      <c r="I32" s="269">
        <f>+'Contract Summary'!AC111</f>
        <v>22518</v>
      </c>
      <c r="J32" s="269">
        <f>+'Contract Summary'!AD111</f>
        <v>0</v>
      </c>
      <c r="K32" s="269"/>
      <c r="L32" s="269">
        <f>SUM(C32:K32)</f>
        <v>629285</v>
      </c>
      <c r="M32" s="290"/>
      <c r="N32" s="290"/>
      <c r="O32" s="297"/>
      <c r="P32" s="295"/>
    </row>
    <row r="33" spans="3:16" ht="19.5" customHeight="1" hidden="1" outlineLevel="1">
      <c r="C33" s="269"/>
      <c r="D33" s="269"/>
      <c r="E33" s="269"/>
      <c r="F33" s="269"/>
      <c r="G33" s="269"/>
      <c r="H33" s="269">
        <v>-1</v>
      </c>
      <c r="I33" s="269"/>
      <c r="J33" s="269"/>
      <c r="K33" s="269"/>
      <c r="L33" s="269">
        <f>SUM(C33:K33)</f>
        <v>-1</v>
      </c>
      <c r="M33" s="86"/>
      <c r="N33" s="86"/>
      <c r="O33" s="297"/>
      <c r="P33" s="295"/>
    </row>
    <row r="34" spans="1:17" ht="19.5" customHeight="1" collapsed="1">
      <c r="A34" s="134">
        <v>500</v>
      </c>
      <c r="B34" s="4" t="s">
        <v>56</v>
      </c>
      <c r="C34" s="86">
        <f>SUM(C31:C33)</f>
        <v>549404</v>
      </c>
      <c r="D34" s="86">
        <f>SUM(D31:D33)</f>
        <v>0</v>
      </c>
      <c r="E34" s="86"/>
      <c r="F34" s="86">
        <f aca="true" t="shared" si="9" ref="F34:L34">SUM(F31:F33)</f>
        <v>0</v>
      </c>
      <c r="G34" s="86">
        <f t="shared" si="9"/>
        <v>0</v>
      </c>
      <c r="H34" s="86">
        <f t="shared" si="9"/>
        <v>57362</v>
      </c>
      <c r="I34" s="86">
        <f t="shared" si="9"/>
        <v>22518</v>
      </c>
      <c r="J34" s="86">
        <f t="shared" si="9"/>
        <v>0</v>
      </c>
      <c r="K34" s="86">
        <f t="shared" si="9"/>
        <v>0</v>
      </c>
      <c r="L34" s="86">
        <f t="shared" si="9"/>
        <v>629284</v>
      </c>
      <c r="M34" s="86"/>
      <c r="N34" s="86"/>
      <c r="O34" s="297">
        <v>441374.14</v>
      </c>
      <c r="P34" s="295">
        <f>+L34-O34</f>
        <v>187909.86</v>
      </c>
      <c r="Q34" s="4" t="s">
        <v>635</v>
      </c>
    </row>
    <row r="35" spans="3:16" ht="19.5" customHeight="1" hidden="1" outlineLevel="1"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86"/>
      <c r="N35" s="86"/>
      <c r="O35" s="297"/>
      <c r="P35" s="295"/>
    </row>
    <row r="36" spans="3:16" ht="19.5" customHeight="1" hidden="1" outlineLevel="1">
      <c r="C36" s="306">
        <f>+'Contract Summary'!V111-13143</f>
        <v>42555</v>
      </c>
      <c r="D36" s="306"/>
      <c r="E36" s="306">
        <v>13143</v>
      </c>
      <c r="F36" s="269">
        <v>500</v>
      </c>
      <c r="G36" s="269">
        <v>845</v>
      </c>
      <c r="H36" s="269"/>
      <c r="I36" s="269">
        <f>-14+2800-1772</f>
        <v>1014</v>
      </c>
      <c r="J36" s="269"/>
      <c r="K36" s="269"/>
      <c r="L36" s="269">
        <f>SUM(C36:K36)</f>
        <v>58057</v>
      </c>
      <c r="M36" s="291">
        <f>+L34+L30+L26</f>
        <v>1071680.62</v>
      </c>
      <c r="N36" s="291"/>
      <c r="O36" s="297" t="s">
        <v>642</v>
      </c>
      <c r="P36" s="295"/>
    </row>
    <row r="37" spans="3:16" ht="19.5" customHeight="1" hidden="1" outlineLevel="1">
      <c r="C37" s="269"/>
      <c r="D37" s="269"/>
      <c r="E37" s="269"/>
      <c r="F37" s="269">
        <f>-1883.82+3308</f>
        <v>1424.18</v>
      </c>
      <c r="G37" s="269"/>
      <c r="H37" s="269"/>
      <c r="I37" s="269"/>
      <c r="J37" s="269"/>
      <c r="K37" s="269"/>
      <c r="L37" s="269">
        <f>SUM(C37:K37)</f>
        <v>1424.18</v>
      </c>
      <c r="M37" s="86">
        <f>+M36-'Contract Summary'!R111</f>
        <v>-55476.5</v>
      </c>
      <c r="N37" s="86"/>
      <c r="O37" s="297"/>
      <c r="P37" s="295"/>
    </row>
    <row r="38" spans="3:16" ht="19.5" customHeight="1" hidden="1" outlineLevel="1">
      <c r="C38" s="269"/>
      <c r="D38" s="269"/>
      <c r="E38" s="269"/>
      <c r="F38" s="269"/>
      <c r="G38" s="269"/>
      <c r="H38" s="269"/>
      <c r="I38" s="269"/>
      <c r="J38" s="269"/>
      <c r="K38" s="269"/>
      <c r="L38" s="269">
        <f>SUM(C38:K38)</f>
        <v>0</v>
      </c>
      <c r="M38" s="86"/>
      <c r="N38" s="86"/>
      <c r="O38" s="297"/>
      <c r="P38" s="295"/>
    </row>
    <row r="39" spans="2:16" ht="19.5" customHeight="1" hidden="1" outlineLevel="1">
      <c r="B39" s="4" t="s">
        <v>671</v>
      </c>
      <c r="C39" s="269"/>
      <c r="D39" s="269"/>
      <c r="E39" s="269"/>
      <c r="F39" s="269"/>
      <c r="G39" s="269"/>
      <c r="H39" s="269">
        <v>669</v>
      </c>
      <c r="I39" s="269"/>
      <c r="J39" s="269"/>
      <c r="K39" s="269"/>
      <c r="L39" s="269">
        <f>SUM(C39:K39)</f>
        <v>669</v>
      </c>
      <c r="M39" s="86"/>
      <c r="N39" s="86"/>
      <c r="O39" s="297"/>
      <c r="P39" s="295"/>
    </row>
    <row r="40" spans="1:17" ht="19.5" customHeight="1" collapsed="1">
      <c r="A40" s="134">
        <v>600</v>
      </c>
      <c r="B40" s="4" t="s">
        <v>57</v>
      </c>
      <c r="C40" s="341">
        <f>SUM(C35:C39)</f>
        <v>42555</v>
      </c>
      <c r="D40" s="341">
        <f>SUM(D35:D39)</f>
        <v>0</v>
      </c>
      <c r="E40" s="86">
        <f aca="true" t="shared" si="10" ref="E40:L40">SUM(E35:E39)</f>
        <v>13143</v>
      </c>
      <c r="F40" s="86">
        <f t="shared" si="10"/>
        <v>1924.18</v>
      </c>
      <c r="G40" s="86">
        <f t="shared" si="10"/>
        <v>845</v>
      </c>
      <c r="H40" s="86">
        <f t="shared" si="10"/>
        <v>669</v>
      </c>
      <c r="I40" s="86">
        <f t="shared" si="10"/>
        <v>1014</v>
      </c>
      <c r="J40" s="86">
        <f t="shared" si="10"/>
        <v>0</v>
      </c>
      <c r="K40" s="86">
        <f t="shared" si="10"/>
        <v>0</v>
      </c>
      <c r="L40" s="86">
        <f t="shared" si="10"/>
        <v>60150.18</v>
      </c>
      <c r="M40" s="86"/>
      <c r="N40" s="86"/>
      <c r="O40" s="297">
        <v>277347</v>
      </c>
      <c r="P40" s="295">
        <f>+L40-O40</f>
        <v>-217196.82</v>
      </c>
      <c r="Q40" s="4" t="s">
        <v>636</v>
      </c>
    </row>
    <row r="41" spans="3:16" ht="19.5" customHeight="1" hidden="1" outlineLevel="1"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86"/>
      <c r="N41" s="86"/>
      <c r="O41" s="297"/>
      <c r="P41" s="295"/>
    </row>
    <row r="42" spans="3:16" ht="19.5" customHeight="1" hidden="1" outlineLevel="1">
      <c r="C42" s="269"/>
      <c r="D42" s="269"/>
      <c r="E42" s="269"/>
      <c r="F42" s="269"/>
      <c r="G42" s="269"/>
      <c r="H42" s="269"/>
      <c r="I42" s="269"/>
      <c r="J42" s="269"/>
      <c r="K42" s="269"/>
      <c r="L42" s="269">
        <f>SUM(C42:K42)</f>
        <v>0</v>
      </c>
      <c r="M42" s="223"/>
      <c r="N42" s="223"/>
      <c r="O42" s="297"/>
      <c r="P42" s="295"/>
    </row>
    <row r="43" spans="1:17" ht="19.5" customHeight="1" collapsed="1">
      <c r="A43" s="134">
        <v>700</v>
      </c>
      <c r="B43" s="4" t="s">
        <v>58</v>
      </c>
      <c r="C43" s="293">
        <f>SUM(C42:C42)</f>
        <v>0</v>
      </c>
      <c r="D43" s="86">
        <f>SUM(J3)</f>
        <v>0</v>
      </c>
      <c r="E43" s="86"/>
      <c r="F43" s="86">
        <f>SUM(K3)</f>
        <v>0</v>
      </c>
      <c r="G43" s="86">
        <f>SUM(L3)</f>
        <v>0</v>
      </c>
      <c r="H43" s="86">
        <f>SUM(L3)</f>
        <v>0</v>
      </c>
      <c r="I43" s="86">
        <f>SUM(M3)</f>
        <v>0</v>
      </c>
      <c r="J43" s="86">
        <f>SUM(O3)</f>
        <v>0</v>
      </c>
      <c r="K43" s="86">
        <f>SUM(V3)</f>
        <v>0</v>
      </c>
      <c r="L43" s="86">
        <f>SUM(L42:L42)</f>
        <v>0</v>
      </c>
      <c r="M43" s="86"/>
      <c r="N43" s="86"/>
      <c r="O43" s="297">
        <f>119472.14-68821-6014</f>
        <v>44637.14</v>
      </c>
      <c r="P43" s="295">
        <f>+L43-O43</f>
        <v>-44637.14</v>
      </c>
      <c r="Q43" s="164"/>
    </row>
    <row r="44" spans="3:16" ht="19.5" customHeight="1" hidden="1" outlineLevel="1">
      <c r="C44" s="272">
        <f>+Assumptions!E32</f>
        <v>0</v>
      </c>
      <c r="D44" s="272"/>
      <c r="E44" s="272"/>
      <c r="F44" s="269"/>
      <c r="G44" s="269"/>
      <c r="H44" s="269"/>
      <c r="I44" s="269"/>
      <c r="J44" s="269"/>
      <c r="K44" s="269"/>
      <c r="L44" s="269">
        <f>SUM(C44:K44)</f>
        <v>0</v>
      </c>
      <c r="M44" s="290" t="s">
        <v>618</v>
      </c>
      <c r="N44" s="290"/>
      <c r="O44" s="297"/>
      <c r="P44" s="295"/>
    </row>
    <row r="45" spans="3:16" ht="19.5" customHeight="1" hidden="1" outlineLevel="1">
      <c r="C45" s="272">
        <v>4000</v>
      </c>
      <c r="D45" s="272"/>
      <c r="E45" s="272"/>
      <c r="F45" s="269"/>
      <c r="G45" s="269"/>
      <c r="H45" s="269"/>
      <c r="I45" s="269"/>
      <c r="J45" s="269"/>
      <c r="K45" s="269"/>
      <c r="L45" s="269">
        <f>SUM(C45:K45)</f>
        <v>4000</v>
      </c>
      <c r="M45" s="86"/>
      <c r="N45" s="86"/>
      <c r="O45" s="297"/>
      <c r="P45" s="295"/>
    </row>
    <row r="46" spans="1:17" ht="19.5" customHeight="1" collapsed="1">
      <c r="A46" s="134">
        <v>800</v>
      </c>
      <c r="B46" s="4" t="s">
        <v>59</v>
      </c>
      <c r="C46" s="293">
        <f>SUM(C44:C45)-1</f>
        <v>3999</v>
      </c>
      <c r="D46" s="293">
        <f>SUM(D44:D45)</f>
        <v>0</v>
      </c>
      <c r="E46" s="293"/>
      <c r="F46" s="86">
        <f aca="true" t="shared" si="11" ref="F46:L46">SUM(F44:F45)</f>
        <v>0</v>
      </c>
      <c r="G46" s="86"/>
      <c r="H46" s="86">
        <f t="shared" si="11"/>
        <v>0</v>
      </c>
      <c r="I46" s="86">
        <f t="shared" si="11"/>
        <v>0</v>
      </c>
      <c r="J46" s="86">
        <f t="shared" si="11"/>
        <v>0</v>
      </c>
      <c r="K46" s="86">
        <f t="shared" si="11"/>
        <v>0</v>
      </c>
      <c r="L46" s="86">
        <f t="shared" si="11"/>
        <v>4000</v>
      </c>
      <c r="M46" s="86"/>
      <c r="N46" s="86"/>
      <c r="O46" s="297">
        <v>11110</v>
      </c>
      <c r="P46" s="295">
        <f>+L46-O46</f>
        <v>-7110</v>
      </c>
      <c r="Q46" s="4" t="s">
        <v>637</v>
      </c>
    </row>
    <row r="47" spans="3:16" ht="19.5" customHeight="1" hidden="1" outlineLevel="1">
      <c r="C47" s="272"/>
      <c r="D47" s="272"/>
      <c r="E47" s="272"/>
      <c r="F47" s="269"/>
      <c r="G47" s="269"/>
      <c r="H47" s="269"/>
      <c r="I47" s="269"/>
      <c r="J47" s="269"/>
      <c r="K47" s="269"/>
      <c r="L47" s="269"/>
      <c r="M47" s="86"/>
      <c r="N47" s="86"/>
      <c r="O47" s="298"/>
      <c r="P47" s="86"/>
    </row>
    <row r="48" spans="3:16" ht="19.5" customHeight="1" hidden="1" outlineLevel="1">
      <c r="C48" s="272"/>
      <c r="D48" s="272"/>
      <c r="E48" s="272"/>
      <c r="F48" s="269"/>
      <c r="G48" s="269"/>
      <c r="H48" s="269"/>
      <c r="I48" s="269"/>
      <c r="J48" s="269"/>
      <c r="K48" s="269"/>
      <c r="L48" s="269"/>
      <c r="M48" s="86"/>
      <c r="N48" s="86"/>
      <c r="O48" s="298"/>
      <c r="P48" s="86"/>
    </row>
    <row r="49" spans="3:16" ht="19.5" customHeight="1" hidden="1" outlineLevel="1">
      <c r="C49" s="272">
        <f>-F49-H49-I49-J49-K49-G49</f>
        <v>-79506.71793815399</v>
      </c>
      <c r="D49" s="272"/>
      <c r="E49" s="272"/>
      <c r="F49" s="269">
        <f>(+F40+F34+F30+F26+F22+F14)*7.3349%</f>
        <v>5997.617755572</v>
      </c>
      <c r="G49" s="269">
        <f>(+G40+G34+G30+G26+G22+G14)*7.3349%</f>
        <v>61.979904999999995</v>
      </c>
      <c r="H49" s="269">
        <f>(+H40+H34+H30+H26+H22+H14)*7.3349%</f>
        <v>29586.635617851996</v>
      </c>
      <c r="I49" s="269">
        <f>(+I40+I34+I30+I26+I22+I14)*7.3349%</f>
        <v>2224.6018209999997</v>
      </c>
      <c r="J49" s="269">
        <f>(+J40+J34+J30+J26+J22+J14)*7.3349%</f>
        <v>41635.88283873</v>
      </c>
      <c r="K49" s="269"/>
      <c r="L49" s="269">
        <f>SUM(C49:K49)</f>
        <v>0</v>
      </c>
      <c r="M49" s="270"/>
      <c r="N49" s="270"/>
      <c r="O49" s="298"/>
      <c r="P49" s="86"/>
    </row>
    <row r="50" spans="3:16" ht="19.5" customHeight="1" hidden="1" outlineLevel="1">
      <c r="C50" s="272"/>
      <c r="D50" s="272"/>
      <c r="E50" s="272"/>
      <c r="F50" s="269"/>
      <c r="G50" s="269"/>
      <c r="H50" s="269"/>
      <c r="I50" s="269"/>
      <c r="J50" s="269"/>
      <c r="K50" s="269"/>
      <c r="L50" s="269"/>
      <c r="M50" s="86"/>
      <c r="N50" s="86"/>
      <c r="O50" s="298"/>
      <c r="P50" s="86"/>
    </row>
    <row r="51" spans="1:16" ht="19.5" customHeight="1" collapsed="1">
      <c r="A51" s="134">
        <v>900</v>
      </c>
      <c r="B51" s="4" t="s">
        <v>63</v>
      </c>
      <c r="C51" s="293">
        <f aca="true" t="shared" si="12" ref="C51:L51">SUM(C47:C50)</f>
        <v>-79506.71793815399</v>
      </c>
      <c r="D51" s="293">
        <f t="shared" si="12"/>
        <v>0</v>
      </c>
      <c r="E51" s="293"/>
      <c r="F51" s="86">
        <f t="shared" si="12"/>
        <v>5997.617755572</v>
      </c>
      <c r="G51" s="86">
        <f t="shared" si="12"/>
        <v>61.979904999999995</v>
      </c>
      <c r="H51" s="86">
        <f t="shared" si="12"/>
        <v>29586.635617851996</v>
      </c>
      <c r="I51" s="86">
        <f t="shared" si="12"/>
        <v>2224.6018209999997</v>
      </c>
      <c r="J51" s="86">
        <f t="shared" si="12"/>
        <v>41635.88283873</v>
      </c>
      <c r="K51" s="86">
        <f t="shared" si="12"/>
        <v>0</v>
      </c>
      <c r="L51" s="86">
        <f t="shared" si="12"/>
        <v>0</v>
      </c>
      <c r="M51" s="86"/>
      <c r="N51" s="86"/>
      <c r="O51" s="298"/>
      <c r="P51" s="86"/>
    </row>
    <row r="52" spans="3:16" ht="19.5" customHeight="1"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 ht="19.5" customHeight="1">
      <c r="B53" t="s">
        <v>39</v>
      </c>
      <c r="C53" s="266">
        <f>C14+C22+C26+C30+C34+C40+C43+C46+C51</f>
        <v>2874639.8290618462</v>
      </c>
      <c r="D53" s="266">
        <f>D14+D22+D26+D30+D34+D40+D43+D46+D51</f>
        <v>19749.6</v>
      </c>
      <c r="E53" s="266">
        <f>E14+E22+E26+E30+E34+E40+E43+E46+E51</f>
        <v>13143</v>
      </c>
      <c r="F53" s="266">
        <f aca="true" t="shared" si="13" ref="F53:K53">F14+F22+F26+F30+F34+F40+F43+F46+F51</f>
        <v>87765.84575557201</v>
      </c>
      <c r="G53" s="266">
        <f t="shared" si="13"/>
        <v>906.979905</v>
      </c>
      <c r="H53" s="266">
        <f t="shared" si="13"/>
        <v>432954.58361785195</v>
      </c>
      <c r="I53" s="266">
        <f t="shared" si="13"/>
        <v>32553.601821</v>
      </c>
      <c r="J53" s="266">
        <f t="shared" si="13"/>
        <v>609276.65283873</v>
      </c>
      <c r="K53" s="266">
        <f t="shared" si="13"/>
        <v>995</v>
      </c>
      <c r="L53" s="266">
        <f>L14+L22+L26+L30+L34+L40+L43+L46+L51</f>
        <v>4071986.0930000003</v>
      </c>
      <c r="O53" s="266">
        <f>+O51+O46+O43+O40+O34+O30+O26+O22+O14</f>
        <v>3959106.45</v>
      </c>
      <c r="P53" s="266">
        <f>+P51+P46+P43+P40+P34+P30+P26+P22+P14</f>
        <v>112879.64300000004</v>
      </c>
    </row>
    <row r="54" spans="2:16" ht="19.5" customHeight="1" thickBot="1">
      <c r="B54" s="4" t="s">
        <v>683</v>
      </c>
      <c r="C54" s="342">
        <f>+C9-C53</f>
        <v>83193.17093815375</v>
      </c>
      <c r="D54" s="342">
        <f>+D9-D53</f>
        <v>0.4000000000014552</v>
      </c>
      <c r="E54" s="342">
        <f>+E9-E53</f>
        <v>0.3099999999994907</v>
      </c>
      <c r="F54" s="342">
        <f aca="true" t="shared" si="14" ref="F54:L54">+F9-F53</f>
        <v>0.15424442799121607</v>
      </c>
      <c r="G54" s="342">
        <f>+G9-G53</f>
        <v>0.020094999999969332</v>
      </c>
      <c r="H54" s="342">
        <f t="shared" si="14"/>
        <v>0.4163821480469778</v>
      </c>
      <c r="I54" s="342">
        <f t="shared" si="14"/>
        <v>0.3981789999998</v>
      </c>
      <c r="J54" s="342">
        <f t="shared" si="14"/>
        <v>0.34716126997955143</v>
      </c>
      <c r="K54" s="342">
        <f t="shared" si="14"/>
        <v>0</v>
      </c>
      <c r="L54" s="342">
        <f t="shared" si="14"/>
        <v>83194.21699999971</v>
      </c>
      <c r="O54" s="267">
        <f>+O53-O9</f>
        <v>3959106.45</v>
      </c>
      <c r="P54" s="267">
        <f>+P53-P9</f>
        <v>112879.64300000004</v>
      </c>
    </row>
    <row r="55" spans="1:12" s="86" customFormat="1" ht="21.75" customHeight="1" thickTop="1">
      <c r="A55" s="174"/>
      <c r="B55" s="223" t="s">
        <v>198</v>
      </c>
      <c r="C55" s="343">
        <v>34059</v>
      </c>
      <c r="D55" s="343"/>
      <c r="E55" s="343"/>
      <c r="F55" s="343"/>
      <c r="G55" s="343"/>
      <c r="H55" s="343"/>
      <c r="I55" s="343"/>
      <c r="J55" s="343"/>
      <c r="K55" s="343"/>
      <c r="L55" s="342">
        <f>SUM(C55:K55)</f>
        <v>34059</v>
      </c>
    </row>
    <row r="56" spans="2:12" ht="23.25" customHeight="1" thickBot="1">
      <c r="B56" s="4" t="s">
        <v>684</v>
      </c>
      <c r="C56" s="344">
        <f>+C54-C55</f>
        <v>49134.17093815375</v>
      </c>
      <c r="D56" s="344">
        <f>+D54-D55</f>
        <v>0.4000000000014552</v>
      </c>
      <c r="E56" s="344">
        <f>+E54-E55</f>
        <v>0.3099999999994907</v>
      </c>
      <c r="F56" s="344">
        <f aca="true" t="shared" si="15" ref="F56:K56">+F54-F55</f>
        <v>0.15424442799121607</v>
      </c>
      <c r="G56" s="344">
        <f>+G54-G55</f>
        <v>0.020094999999969332</v>
      </c>
      <c r="H56" s="344">
        <f t="shared" si="15"/>
        <v>0.4163821480469778</v>
      </c>
      <c r="I56" s="344">
        <f t="shared" si="15"/>
        <v>0.3981789999998</v>
      </c>
      <c r="J56" s="344">
        <f t="shared" si="15"/>
        <v>0.34716126997955143</v>
      </c>
      <c r="K56" s="344">
        <f t="shared" si="15"/>
        <v>0</v>
      </c>
      <c r="L56" s="344">
        <f>+L54-L55</f>
        <v>49135.21699999971</v>
      </c>
    </row>
    <row r="57" ht="13.5" thickTop="1"/>
    <row r="58" ht="12.75"/>
    <row r="60" spans="2:12" ht="12.75">
      <c r="B60" s="75"/>
      <c r="L60" s="317"/>
    </row>
    <row r="61" ht="12.75">
      <c r="B61" s="71"/>
    </row>
    <row r="62" spans="2:12" ht="12.75">
      <c r="B62" s="71"/>
      <c r="L62" s="89"/>
    </row>
  </sheetData>
  <sheetProtection/>
  <mergeCells count="2">
    <mergeCell ref="A1:L1"/>
    <mergeCell ref="A2:L2"/>
  </mergeCells>
  <printOptions horizontalCentered="1"/>
  <pageMargins left="0" right="0" top="0.75" bottom="0.75" header="0.3" footer="0.3"/>
  <pageSetup fitToHeight="1" fitToWidth="1"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133"/>
  <sheetViews>
    <sheetView zoomScaleSheetLayoutView="6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41" sqref="D41"/>
    </sheetView>
  </sheetViews>
  <sheetFormatPr defaultColWidth="9.140625" defaultRowHeight="15" customHeight="1" outlineLevelCol="1"/>
  <cols>
    <col min="1" max="1" width="10.28125" style="1" customWidth="1"/>
    <col min="2" max="2" width="26.421875" style="1" customWidth="1"/>
    <col min="3" max="3" width="1.28515625" style="3" customWidth="1" outlineLevel="1"/>
    <col min="4" max="4" width="12.7109375" style="6" customWidth="1"/>
    <col min="5" max="5" width="10.7109375" style="3" customWidth="1"/>
    <col min="6" max="6" width="12.7109375" style="3" customWidth="1"/>
    <col min="7" max="7" width="10.00390625" style="3" customWidth="1"/>
    <col min="8" max="9" width="9.421875" style="3" customWidth="1"/>
    <col min="10" max="10" width="10.00390625" style="3" customWidth="1"/>
    <col min="11" max="11" width="11.421875" style="276" customWidth="1"/>
    <col min="12" max="12" width="9.8515625" style="1" hidden="1" customWidth="1"/>
    <col min="13" max="13" width="11.140625" style="1" customWidth="1"/>
    <col min="14" max="14" width="2.421875" style="2" customWidth="1"/>
    <col min="15" max="15" width="11.421875" style="1" customWidth="1"/>
    <col min="16" max="16" width="10.57421875" style="1" customWidth="1"/>
    <col min="17" max="17" width="9.140625" style="1" hidden="1" customWidth="1"/>
    <col min="18" max="18" width="10.00390625" style="1" customWidth="1"/>
    <col min="19" max="19" width="9.140625" style="1" customWidth="1"/>
    <col min="20" max="20" width="10.7109375" style="1" customWidth="1"/>
    <col min="21" max="21" width="10.57421875" style="1" customWidth="1"/>
    <col min="22" max="22" width="10.28125" style="1" customWidth="1"/>
    <col min="23" max="23" width="10.421875" style="1" customWidth="1"/>
    <col min="24" max="24" width="9.421875" style="1" hidden="1" customWidth="1"/>
    <col min="25" max="16384" width="9.140625" style="1" customWidth="1"/>
  </cols>
  <sheetData>
    <row r="1" spans="1:24" s="2" customFormat="1" ht="62.25" customHeight="1">
      <c r="A1" s="7" t="s">
        <v>593</v>
      </c>
      <c r="B1" s="8" t="s">
        <v>594</v>
      </c>
      <c r="C1" s="7"/>
      <c r="D1" s="7" t="s">
        <v>651</v>
      </c>
      <c r="E1" s="7" t="s">
        <v>595</v>
      </c>
      <c r="F1" s="7" t="s">
        <v>648</v>
      </c>
      <c r="G1" s="7" t="s">
        <v>114</v>
      </c>
      <c r="H1" s="7" t="s">
        <v>113</v>
      </c>
      <c r="I1" s="288" t="s">
        <v>629</v>
      </c>
      <c r="J1" s="7" t="s">
        <v>112</v>
      </c>
      <c r="K1" s="288" t="s">
        <v>674</v>
      </c>
      <c r="L1" s="281" t="s">
        <v>597</v>
      </c>
      <c r="M1" s="288" t="s">
        <v>469</v>
      </c>
      <c r="N1" s="149"/>
      <c r="O1" s="313" t="s">
        <v>503</v>
      </c>
      <c r="P1" s="313" t="s">
        <v>585</v>
      </c>
      <c r="Q1" s="314" t="s">
        <v>271</v>
      </c>
      <c r="R1" s="315" t="s">
        <v>504</v>
      </c>
      <c r="S1" s="315" t="s">
        <v>711</v>
      </c>
      <c r="T1" s="315" t="s">
        <v>241</v>
      </c>
      <c r="U1" s="315" t="s">
        <v>505</v>
      </c>
      <c r="V1" s="316" t="s">
        <v>62</v>
      </c>
      <c r="W1" s="314" t="s">
        <v>62</v>
      </c>
      <c r="X1" s="109" t="s">
        <v>106</v>
      </c>
    </row>
    <row r="2" spans="1:25" s="2" customFormat="1" ht="15" customHeight="1">
      <c r="A2" s="7"/>
      <c r="B2" s="8"/>
      <c r="C2" s="7"/>
      <c r="D2" s="42"/>
      <c r="E2" s="45"/>
      <c r="F2" s="282">
        <v>0.245</v>
      </c>
      <c r="G2" s="45">
        <v>0.062</v>
      </c>
      <c r="H2" s="45"/>
      <c r="I2" s="45"/>
      <c r="J2" s="45"/>
      <c r="K2" s="7"/>
      <c r="M2" s="326">
        <v>0.062</v>
      </c>
      <c r="O2" s="97"/>
      <c r="Y2" s="115" t="s">
        <v>348</v>
      </c>
    </row>
    <row r="3" spans="1:25" ht="27.75" customHeight="1">
      <c r="A3" s="39" t="s">
        <v>277</v>
      </c>
      <c r="B3" s="10" t="s">
        <v>562</v>
      </c>
      <c r="C3" s="11"/>
      <c r="D3" s="12"/>
      <c r="E3" s="12"/>
      <c r="F3" s="12"/>
      <c r="G3" s="12"/>
      <c r="H3" s="12"/>
      <c r="I3" s="12"/>
      <c r="J3" s="12"/>
      <c r="K3" s="11"/>
      <c r="M3" s="11"/>
      <c r="N3" s="119"/>
      <c r="O3" s="11"/>
      <c r="P3" s="11"/>
      <c r="Q3" s="11"/>
      <c r="R3" s="11"/>
      <c r="S3" s="11"/>
      <c r="T3" s="11"/>
      <c r="U3" s="11"/>
      <c r="V3" s="11"/>
      <c r="W3" s="11"/>
      <c r="X3" s="11"/>
      <c r="Y3" s="108">
        <f aca="true" t="shared" si="0" ref="Y3:Y30">D3+E3-O3-P3-Q3-R3-S3-T3-U3-V3-X3-W3</f>
        <v>0</v>
      </c>
    </row>
    <row r="4" spans="1:25" s="2" customFormat="1" ht="15" customHeight="1">
      <c r="A4" s="34" t="s">
        <v>604</v>
      </c>
      <c r="B4" s="36" t="s">
        <v>1</v>
      </c>
      <c r="C4" s="15">
        <v>55000</v>
      </c>
      <c r="D4" s="15">
        <v>45963</v>
      </c>
      <c r="E4" s="21">
        <v>2500</v>
      </c>
      <c r="F4" s="21">
        <f>+(D4+E4)*$F$2</f>
        <v>11873.435</v>
      </c>
      <c r="G4" s="21"/>
      <c r="H4" s="21">
        <f>+(E4+D4)*2.7%</f>
        <v>1308.5010000000002</v>
      </c>
      <c r="I4" s="21">
        <v>990</v>
      </c>
      <c r="J4" s="50">
        <f>(413.27*3)+(429.8*9)</f>
        <v>5108.01</v>
      </c>
      <c r="K4" s="106">
        <f>SUM(F4:J4)</f>
        <v>19279.946</v>
      </c>
      <c r="L4" s="37">
        <f>D4/24</f>
        <v>1915.125</v>
      </c>
      <c r="M4" s="21">
        <f>7700*$M$2</f>
        <v>477.4</v>
      </c>
      <c r="N4" s="38"/>
      <c r="O4" s="108">
        <f>D4</f>
        <v>45963</v>
      </c>
      <c r="W4" s="108">
        <f>E4</f>
        <v>2500</v>
      </c>
      <c r="Y4" s="108">
        <f t="shared" si="0"/>
        <v>0</v>
      </c>
    </row>
    <row r="5" spans="1:25" s="2" customFormat="1" ht="15" customHeight="1">
      <c r="A5" s="117" t="s">
        <v>604</v>
      </c>
      <c r="B5" s="36" t="s">
        <v>696</v>
      </c>
      <c r="C5" s="15">
        <v>43794</v>
      </c>
      <c r="D5" s="15">
        <v>45963</v>
      </c>
      <c r="E5" s="21">
        <v>2500</v>
      </c>
      <c r="F5" s="21">
        <f>+(D5+E5)*$F$2</f>
        <v>11873.435</v>
      </c>
      <c r="G5" s="21"/>
      <c r="H5" s="21">
        <f>+(E5+D5)*2.7%</f>
        <v>1308.5010000000002</v>
      </c>
      <c r="I5" s="21">
        <v>742.5</v>
      </c>
      <c r="J5" s="50">
        <f>429.8*9</f>
        <v>3868.2000000000003</v>
      </c>
      <c r="K5" s="106">
        <f>SUM(F5:J5)</f>
        <v>17792.636</v>
      </c>
      <c r="L5" s="37">
        <f>D5/24</f>
        <v>1915.125</v>
      </c>
      <c r="M5" s="21">
        <f>7700*$M$2</f>
        <v>477.4</v>
      </c>
      <c r="N5" s="38"/>
      <c r="O5" s="108">
        <f>D5</f>
        <v>45963</v>
      </c>
      <c r="W5" s="108">
        <f>E5</f>
        <v>2500</v>
      </c>
      <c r="Y5" s="108">
        <f t="shared" si="0"/>
        <v>0</v>
      </c>
    </row>
    <row r="6" spans="1:25" ht="15" customHeight="1">
      <c r="A6" s="17"/>
      <c r="B6" s="17" t="s">
        <v>575</v>
      </c>
      <c r="C6" s="18">
        <f>SUM(C4:C5)</f>
        <v>98794</v>
      </c>
      <c r="D6" s="18">
        <f aca="true" t="shared" si="1" ref="D6:J6">SUM(D4:D5)</f>
        <v>91926</v>
      </c>
      <c r="E6" s="18">
        <f t="shared" si="1"/>
        <v>5000</v>
      </c>
      <c r="F6" s="18">
        <f t="shared" si="1"/>
        <v>23746.87</v>
      </c>
      <c r="G6" s="18">
        <f t="shared" si="1"/>
        <v>0</v>
      </c>
      <c r="H6" s="18">
        <f t="shared" si="1"/>
        <v>2617.0020000000004</v>
      </c>
      <c r="I6" s="18">
        <f>SUM(I4:I5)</f>
        <v>1732.5</v>
      </c>
      <c r="J6" s="18">
        <f t="shared" si="1"/>
        <v>8976.210000000001</v>
      </c>
      <c r="K6" s="103">
        <f>SUM(K4:K5)</f>
        <v>37072.581999999995</v>
      </c>
      <c r="M6" s="103">
        <f>SUM(M4:M5)</f>
        <v>954.8</v>
      </c>
      <c r="N6" s="150"/>
      <c r="O6" s="103">
        <f>SUM(O4:O5)</f>
        <v>91926</v>
      </c>
      <c r="P6" s="103">
        <f aca="true" t="shared" si="2" ref="P6:X6">SUM(P4:P4)</f>
        <v>0</v>
      </c>
      <c r="Q6" s="103">
        <f t="shared" si="2"/>
        <v>0</v>
      </c>
      <c r="R6" s="103">
        <f t="shared" si="2"/>
        <v>0</v>
      </c>
      <c r="S6" s="103">
        <f t="shared" si="2"/>
        <v>0</v>
      </c>
      <c r="T6" s="103">
        <f t="shared" si="2"/>
        <v>0</v>
      </c>
      <c r="U6" s="103">
        <f t="shared" si="2"/>
        <v>0</v>
      </c>
      <c r="V6" s="103">
        <f t="shared" si="2"/>
        <v>0</v>
      </c>
      <c r="W6" s="103">
        <f>SUM(W4:W5)</f>
        <v>5000</v>
      </c>
      <c r="X6" s="103">
        <f t="shared" si="2"/>
        <v>0</v>
      </c>
      <c r="Y6" s="108">
        <f t="shared" si="0"/>
        <v>0</v>
      </c>
    </row>
    <row r="7" spans="1:25" ht="15" customHeight="1">
      <c r="A7" s="20"/>
      <c r="B7" s="13"/>
      <c r="C7" s="15"/>
      <c r="D7" s="16"/>
      <c r="E7" s="15"/>
      <c r="F7" s="15"/>
      <c r="G7" s="15"/>
      <c r="H7" s="15"/>
      <c r="I7" s="15"/>
      <c r="J7" s="15"/>
      <c r="K7" s="273"/>
      <c r="Y7" s="108">
        <f t="shared" si="0"/>
        <v>0</v>
      </c>
    </row>
    <row r="8" spans="1:25" ht="29.25" customHeight="1">
      <c r="A8" s="39" t="s">
        <v>278</v>
      </c>
      <c r="B8" s="10" t="s">
        <v>562</v>
      </c>
      <c r="C8" s="11"/>
      <c r="D8" s="11"/>
      <c r="E8" s="11"/>
      <c r="F8" s="11"/>
      <c r="G8" s="11"/>
      <c r="H8" s="11"/>
      <c r="I8" s="11"/>
      <c r="J8" s="11"/>
      <c r="K8" s="11"/>
      <c r="M8" s="11"/>
      <c r="N8" s="119"/>
      <c r="O8" s="11"/>
      <c r="P8" s="11"/>
      <c r="Q8" s="11"/>
      <c r="R8" s="11"/>
      <c r="S8" s="11"/>
      <c r="T8" s="11"/>
      <c r="U8" s="11"/>
      <c r="V8" s="11"/>
      <c r="W8" s="11"/>
      <c r="X8" s="11"/>
      <c r="Y8" s="108">
        <f t="shared" si="0"/>
        <v>0</v>
      </c>
    </row>
    <row r="9" spans="1:25" s="2" customFormat="1" ht="15" customHeight="1">
      <c r="A9" s="34" t="s">
        <v>590</v>
      </c>
      <c r="B9" s="36" t="s">
        <v>8</v>
      </c>
      <c r="C9" s="15">
        <v>49761</v>
      </c>
      <c r="D9" s="15">
        <f>4950+54615</f>
        <v>59565</v>
      </c>
      <c r="E9" s="21">
        <v>2500</v>
      </c>
      <c r="F9" s="21">
        <f>+(D9+E9)*$F$2</f>
        <v>15205.925</v>
      </c>
      <c r="G9" s="21"/>
      <c r="H9" s="21">
        <f>+(E9+D9)*2.7%</f>
        <v>1675.755</v>
      </c>
      <c r="I9" s="21">
        <v>990</v>
      </c>
      <c r="J9" s="50">
        <f>(413.27*3)+(429.8*9)</f>
        <v>5108.01</v>
      </c>
      <c r="K9" s="106">
        <f>SUM(F9:J9)</f>
        <v>22979.690000000002</v>
      </c>
      <c r="L9" s="37">
        <f>D9/24</f>
        <v>2481.875</v>
      </c>
      <c r="M9" s="21">
        <f aca="true" t="shared" si="3" ref="M9:M27">7700*$M$2</f>
        <v>477.4</v>
      </c>
      <c r="N9" s="38"/>
      <c r="O9" s="108"/>
      <c r="V9" s="108">
        <f>+D9</f>
        <v>59565</v>
      </c>
      <c r="W9" s="108">
        <f>E9</f>
        <v>2500</v>
      </c>
      <c r="Y9" s="108">
        <f t="shared" si="0"/>
        <v>0</v>
      </c>
    </row>
    <row r="10" spans="1:25" s="2" customFormat="1" ht="15" customHeight="1">
      <c r="A10" s="34" t="s">
        <v>590</v>
      </c>
      <c r="B10" s="36" t="s">
        <v>661</v>
      </c>
      <c r="C10" s="15">
        <v>48430</v>
      </c>
      <c r="D10" s="15">
        <f>4950+48730</f>
        <v>53680</v>
      </c>
      <c r="E10" s="21">
        <v>2500</v>
      </c>
      <c r="F10" s="21">
        <f>+(D10+E10)*$F$2</f>
        <v>13764.1</v>
      </c>
      <c r="G10" s="21"/>
      <c r="H10" s="21">
        <f aca="true" t="shared" si="4" ref="H10:H28">+(E10+D10)*2.7%</f>
        <v>1516.8600000000001</v>
      </c>
      <c r="I10" s="21">
        <v>990</v>
      </c>
      <c r="J10" s="50">
        <f aca="true" t="shared" si="5" ref="J10:J22">(413.27*3)+(429.8*9)</f>
        <v>5108.01</v>
      </c>
      <c r="K10" s="106">
        <f aca="true" t="shared" si="6" ref="K10:K28">SUM(F10:J10)</f>
        <v>21378.97</v>
      </c>
      <c r="L10" s="37">
        <f aca="true" t="shared" si="7" ref="L10:L17">D10/24</f>
        <v>2236.6666666666665</v>
      </c>
      <c r="M10" s="21">
        <f t="shared" si="3"/>
        <v>477.4</v>
      </c>
      <c r="N10" s="38"/>
      <c r="O10" s="108"/>
      <c r="V10" s="108">
        <f>+D10</f>
        <v>53680</v>
      </c>
      <c r="W10" s="108">
        <f aca="true" t="shared" si="8" ref="W10:W28">E10</f>
        <v>2500</v>
      </c>
      <c r="Y10" s="108">
        <f t="shared" si="0"/>
        <v>0</v>
      </c>
    </row>
    <row r="11" spans="1:25" s="2" customFormat="1" ht="15" customHeight="1">
      <c r="A11" s="117" t="s">
        <v>590</v>
      </c>
      <c r="B11" s="279" t="s">
        <v>608</v>
      </c>
      <c r="C11" s="15"/>
      <c r="D11" s="15">
        <v>49155</v>
      </c>
      <c r="E11" s="21">
        <v>2500</v>
      </c>
      <c r="F11" s="21">
        <f>+(D11+E11)*$F$2</f>
        <v>12655.475</v>
      </c>
      <c r="G11" s="21"/>
      <c r="H11" s="21">
        <f t="shared" si="4"/>
        <v>1394.6850000000002</v>
      </c>
      <c r="I11" s="21">
        <v>742.5</v>
      </c>
      <c r="J11" s="50">
        <f t="shared" si="5"/>
        <v>5108.01</v>
      </c>
      <c r="K11" s="106">
        <f t="shared" si="6"/>
        <v>19900.67</v>
      </c>
      <c r="L11" s="37">
        <f t="shared" si="7"/>
        <v>2048.125</v>
      </c>
      <c r="M11" s="21">
        <f t="shared" si="3"/>
        <v>477.4</v>
      </c>
      <c r="N11" s="38"/>
      <c r="O11" s="108"/>
      <c r="P11" s="108">
        <f>+D11</f>
        <v>49155</v>
      </c>
      <c r="W11" s="108">
        <f>E11</f>
        <v>2500</v>
      </c>
      <c r="Y11" s="108">
        <f t="shared" si="0"/>
        <v>0</v>
      </c>
    </row>
    <row r="12" spans="1:25" s="2" customFormat="1" ht="15" customHeight="1">
      <c r="A12" s="34" t="s">
        <v>590</v>
      </c>
      <c r="B12" s="36" t="s">
        <v>603</v>
      </c>
      <c r="C12" s="15">
        <v>48430</v>
      </c>
      <c r="D12" s="15">
        <v>48730</v>
      </c>
      <c r="E12" s="21">
        <v>2500</v>
      </c>
      <c r="F12" s="21">
        <f>+(D12+E12)*$F$2</f>
        <v>12551.35</v>
      </c>
      <c r="G12" s="21"/>
      <c r="H12" s="21">
        <f t="shared" si="4"/>
        <v>1383.2100000000003</v>
      </c>
      <c r="I12" s="21">
        <v>990</v>
      </c>
      <c r="J12" s="50">
        <f t="shared" si="5"/>
        <v>5108.01</v>
      </c>
      <c r="K12" s="106">
        <f t="shared" si="6"/>
        <v>20032.57</v>
      </c>
      <c r="L12" s="37">
        <f t="shared" si="7"/>
        <v>2030.4166666666667</v>
      </c>
      <c r="M12" s="21">
        <f t="shared" si="3"/>
        <v>477.4</v>
      </c>
      <c r="N12" s="38"/>
      <c r="O12" s="108">
        <f aca="true" t="shared" si="9" ref="O12:O25">D12</f>
        <v>48730</v>
      </c>
      <c r="W12" s="108">
        <f t="shared" si="8"/>
        <v>2500</v>
      </c>
      <c r="Y12" s="108">
        <f t="shared" si="0"/>
        <v>0</v>
      </c>
    </row>
    <row r="13" spans="1:25" s="2" customFormat="1" ht="15" customHeight="1">
      <c r="A13" s="34" t="s">
        <v>590</v>
      </c>
      <c r="B13" s="36" t="s">
        <v>127</v>
      </c>
      <c r="C13" s="15">
        <v>46000</v>
      </c>
      <c r="D13" s="15">
        <v>47475</v>
      </c>
      <c r="E13" s="21">
        <v>2500</v>
      </c>
      <c r="F13" s="21">
        <f aca="true" t="shared" si="10" ref="F13:F25">+(D13+E13)*$F$2</f>
        <v>12243.875</v>
      </c>
      <c r="G13" s="21"/>
      <c r="H13" s="21">
        <f t="shared" si="4"/>
        <v>1349.325</v>
      </c>
      <c r="I13" s="21">
        <v>990</v>
      </c>
      <c r="J13" s="50">
        <f t="shared" si="5"/>
        <v>5108.01</v>
      </c>
      <c r="K13" s="106">
        <f t="shared" si="6"/>
        <v>19691.21</v>
      </c>
      <c r="L13" s="37">
        <f t="shared" si="7"/>
        <v>1978.125</v>
      </c>
      <c r="M13" s="21">
        <f t="shared" si="3"/>
        <v>477.4</v>
      </c>
      <c r="N13" s="38"/>
      <c r="O13" s="108">
        <f t="shared" si="9"/>
        <v>47475</v>
      </c>
      <c r="P13" s="208"/>
      <c r="Q13" s="208"/>
      <c r="R13" s="208"/>
      <c r="W13" s="108">
        <f t="shared" si="8"/>
        <v>2500</v>
      </c>
      <c r="Y13" s="108">
        <f t="shared" si="0"/>
        <v>0</v>
      </c>
    </row>
    <row r="14" spans="1:25" s="2" customFormat="1" ht="15" customHeight="1">
      <c r="A14" s="34" t="s">
        <v>590</v>
      </c>
      <c r="B14" s="36" t="s">
        <v>643</v>
      </c>
      <c r="C14" s="15">
        <v>48430</v>
      </c>
      <c r="D14" s="15">
        <v>48063</v>
      </c>
      <c r="E14" s="21">
        <v>2500</v>
      </c>
      <c r="F14" s="21">
        <f>+(D14+E14)*$F$2</f>
        <v>12387.935</v>
      </c>
      <c r="G14" s="21"/>
      <c r="H14" s="21">
        <f>+(E14+D14)*2.7%</f>
        <v>1365.2010000000002</v>
      </c>
      <c r="I14" s="21">
        <v>990</v>
      </c>
      <c r="J14" s="50">
        <f t="shared" si="5"/>
        <v>5108.01</v>
      </c>
      <c r="K14" s="106">
        <f>SUM(F14:J14)</f>
        <v>19851.146</v>
      </c>
      <c r="L14" s="37">
        <f>D14/24</f>
        <v>2002.625</v>
      </c>
      <c r="M14" s="21">
        <f t="shared" si="3"/>
        <v>477.4</v>
      </c>
      <c r="N14" s="38"/>
      <c r="O14" s="108">
        <f>D14</f>
        <v>48063</v>
      </c>
      <c r="W14" s="108">
        <f>E14</f>
        <v>2500</v>
      </c>
      <c r="Y14" s="108">
        <f t="shared" si="0"/>
        <v>0</v>
      </c>
    </row>
    <row r="15" spans="1:25" s="2" customFormat="1" ht="15" customHeight="1">
      <c r="A15" s="34" t="s">
        <v>590</v>
      </c>
      <c r="B15" s="36" t="s">
        <v>6</v>
      </c>
      <c r="C15" s="15">
        <v>48430</v>
      </c>
      <c r="D15" s="15">
        <v>51507</v>
      </c>
      <c r="E15" s="21">
        <v>2500</v>
      </c>
      <c r="F15" s="21">
        <f t="shared" si="10"/>
        <v>13231.715</v>
      </c>
      <c r="G15" s="21"/>
      <c r="H15" s="21">
        <f t="shared" si="4"/>
        <v>1458.189</v>
      </c>
      <c r="I15" s="21">
        <v>990</v>
      </c>
      <c r="J15" s="50">
        <f t="shared" si="5"/>
        <v>5108.01</v>
      </c>
      <c r="K15" s="106">
        <f t="shared" si="6"/>
        <v>20787.914</v>
      </c>
      <c r="L15" s="37">
        <f t="shared" si="7"/>
        <v>2146.125</v>
      </c>
      <c r="M15" s="21">
        <f t="shared" si="3"/>
        <v>477.4</v>
      </c>
      <c r="N15" s="38"/>
      <c r="O15" s="108">
        <f t="shared" si="9"/>
        <v>51507</v>
      </c>
      <c r="P15" s="208"/>
      <c r="Q15" s="208"/>
      <c r="R15" s="208"/>
      <c r="W15" s="108">
        <f t="shared" si="8"/>
        <v>2500</v>
      </c>
      <c r="Y15" s="108">
        <f t="shared" si="0"/>
        <v>0</v>
      </c>
    </row>
    <row r="16" spans="1:25" s="2" customFormat="1" ht="15" customHeight="1">
      <c r="A16" s="34" t="s">
        <v>590</v>
      </c>
      <c r="B16" s="36" t="s">
        <v>602</v>
      </c>
      <c r="C16" s="15">
        <v>46370</v>
      </c>
      <c r="D16" s="15">
        <f>46971+4950</f>
        <v>51921</v>
      </c>
      <c r="E16" s="21">
        <v>2500</v>
      </c>
      <c r="F16" s="21">
        <f t="shared" si="10"/>
        <v>13333.145</v>
      </c>
      <c r="G16" s="21"/>
      <c r="H16" s="21">
        <f t="shared" si="4"/>
        <v>1469.3670000000002</v>
      </c>
      <c r="I16" s="21">
        <v>990</v>
      </c>
      <c r="J16" s="50">
        <f t="shared" si="5"/>
        <v>5108.01</v>
      </c>
      <c r="K16" s="106">
        <f t="shared" si="6"/>
        <v>20900.522</v>
      </c>
      <c r="L16" s="37">
        <f t="shared" si="7"/>
        <v>2163.375</v>
      </c>
      <c r="M16" s="21">
        <f t="shared" si="3"/>
        <v>477.4</v>
      </c>
      <c r="N16" s="38"/>
      <c r="O16" s="108">
        <f t="shared" si="9"/>
        <v>51921</v>
      </c>
      <c r="P16" s="208"/>
      <c r="Q16" s="208"/>
      <c r="R16" s="208"/>
      <c r="W16" s="108">
        <f t="shared" si="8"/>
        <v>2500</v>
      </c>
      <c r="Y16" s="108">
        <f t="shared" si="0"/>
        <v>0</v>
      </c>
    </row>
    <row r="17" spans="1:25" s="2" customFormat="1" ht="15" customHeight="1">
      <c r="A17" s="117" t="s">
        <v>590</v>
      </c>
      <c r="B17" s="36" t="s">
        <v>5</v>
      </c>
      <c r="C17" s="15">
        <v>43294</v>
      </c>
      <c r="D17" s="15">
        <v>48063</v>
      </c>
      <c r="E17" s="21">
        <v>2500</v>
      </c>
      <c r="F17" s="21">
        <f t="shared" si="10"/>
        <v>12387.935</v>
      </c>
      <c r="G17" s="21"/>
      <c r="H17" s="21">
        <f t="shared" si="4"/>
        <v>1365.2010000000002</v>
      </c>
      <c r="I17" s="21">
        <v>990</v>
      </c>
      <c r="J17" s="50">
        <f t="shared" si="5"/>
        <v>5108.01</v>
      </c>
      <c r="K17" s="106">
        <f t="shared" si="6"/>
        <v>19851.146</v>
      </c>
      <c r="L17" s="37">
        <f t="shared" si="7"/>
        <v>2002.625</v>
      </c>
      <c r="M17" s="21">
        <f t="shared" si="3"/>
        <v>477.4</v>
      </c>
      <c r="N17" s="38"/>
      <c r="O17" s="108">
        <f t="shared" si="9"/>
        <v>48063</v>
      </c>
      <c r="P17" s="208"/>
      <c r="Q17" s="208"/>
      <c r="R17" s="208"/>
      <c r="W17" s="108">
        <f t="shared" si="8"/>
        <v>2500</v>
      </c>
      <c r="Y17" s="108">
        <f t="shared" si="0"/>
        <v>0</v>
      </c>
    </row>
    <row r="18" spans="1:25" s="2" customFormat="1" ht="15" customHeight="1">
      <c r="A18" s="117" t="s">
        <v>590</v>
      </c>
      <c r="B18" s="36" t="s">
        <v>7</v>
      </c>
      <c r="C18" s="15">
        <v>43294</v>
      </c>
      <c r="D18" s="15">
        <v>45963</v>
      </c>
      <c r="E18" s="21">
        <v>2500</v>
      </c>
      <c r="F18" s="21">
        <f t="shared" si="10"/>
        <v>11873.435</v>
      </c>
      <c r="G18" s="21"/>
      <c r="H18" s="21">
        <f t="shared" si="4"/>
        <v>1308.5010000000002</v>
      </c>
      <c r="I18" s="21">
        <v>990</v>
      </c>
      <c r="J18" s="50">
        <f t="shared" si="5"/>
        <v>5108.01</v>
      </c>
      <c r="K18" s="106">
        <f t="shared" si="6"/>
        <v>19279.946</v>
      </c>
      <c r="L18" s="37">
        <f aca="true" t="shared" si="11" ref="L18:L25">D18/24</f>
        <v>1915.125</v>
      </c>
      <c r="M18" s="21">
        <f t="shared" si="3"/>
        <v>477.4</v>
      </c>
      <c r="N18" s="38"/>
      <c r="O18" s="108">
        <f t="shared" si="9"/>
        <v>45963</v>
      </c>
      <c r="P18" s="208"/>
      <c r="Q18" s="208"/>
      <c r="R18" s="208"/>
      <c r="W18" s="108">
        <f t="shared" si="8"/>
        <v>2500</v>
      </c>
      <c r="Y18" s="108">
        <f t="shared" si="0"/>
        <v>0</v>
      </c>
    </row>
    <row r="19" spans="1:25" s="2" customFormat="1" ht="15" customHeight="1">
      <c r="A19" s="34" t="s">
        <v>590</v>
      </c>
      <c r="B19" s="36" t="s">
        <v>600</v>
      </c>
      <c r="C19" s="15">
        <v>53580</v>
      </c>
      <c r="D19" s="15">
        <v>53580</v>
      </c>
      <c r="E19" s="21">
        <v>2500</v>
      </c>
      <c r="F19" s="21">
        <f t="shared" si="10"/>
        <v>13739.6</v>
      </c>
      <c r="G19" s="21"/>
      <c r="H19" s="21">
        <f t="shared" si="4"/>
        <v>1514.16</v>
      </c>
      <c r="I19" s="21">
        <v>990</v>
      </c>
      <c r="J19" s="50">
        <f t="shared" si="5"/>
        <v>5108.01</v>
      </c>
      <c r="K19" s="106">
        <f t="shared" si="6"/>
        <v>21351.77</v>
      </c>
      <c r="L19" s="37">
        <f t="shared" si="11"/>
        <v>2232.5</v>
      </c>
      <c r="M19" s="21">
        <f t="shared" si="3"/>
        <v>477.4</v>
      </c>
      <c r="N19" s="38"/>
      <c r="O19" s="108">
        <f t="shared" si="9"/>
        <v>53580</v>
      </c>
      <c r="P19" s="208"/>
      <c r="Q19" s="208"/>
      <c r="R19" s="208"/>
      <c r="W19" s="108">
        <f t="shared" si="8"/>
        <v>2500</v>
      </c>
      <c r="Y19" s="108">
        <f t="shared" si="0"/>
        <v>0</v>
      </c>
    </row>
    <row r="20" spans="1:25" s="2" customFormat="1" ht="15" customHeight="1">
      <c r="A20" s="117" t="s">
        <v>590</v>
      </c>
      <c r="B20" s="36" t="s">
        <v>4</v>
      </c>
      <c r="C20" s="15"/>
      <c r="D20" s="15">
        <v>45459</v>
      </c>
      <c r="E20" s="21">
        <v>2500</v>
      </c>
      <c r="F20" s="21">
        <f t="shared" si="10"/>
        <v>11749.955</v>
      </c>
      <c r="G20" s="21"/>
      <c r="H20" s="21">
        <f t="shared" si="4"/>
        <v>1294.8930000000003</v>
      </c>
      <c r="I20" s="21">
        <v>990</v>
      </c>
      <c r="J20" s="50">
        <f t="shared" si="5"/>
        <v>5108.01</v>
      </c>
      <c r="K20" s="106">
        <f>SUM(F20:J20)</f>
        <v>19142.858</v>
      </c>
      <c r="L20" s="37">
        <f t="shared" si="11"/>
        <v>1894.125</v>
      </c>
      <c r="M20" s="21">
        <f t="shared" si="3"/>
        <v>477.4</v>
      </c>
      <c r="N20" s="38"/>
      <c r="O20" s="108"/>
      <c r="P20" s="208"/>
      <c r="Q20" s="208"/>
      <c r="R20" s="208"/>
      <c r="V20" s="108">
        <f>+D20</f>
        <v>45459</v>
      </c>
      <c r="W20" s="108">
        <f t="shared" si="8"/>
        <v>2500</v>
      </c>
      <c r="Y20" s="108">
        <f t="shared" si="0"/>
        <v>0</v>
      </c>
    </row>
    <row r="21" spans="1:25" s="2" customFormat="1" ht="15" customHeight="1">
      <c r="A21" s="34" t="s">
        <v>590</v>
      </c>
      <c r="B21" s="36" t="s">
        <v>620</v>
      </c>
      <c r="C21" s="15"/>
      <c r="D21" s="15">
        <v>45963</v>
      </c>
      <c r="E21" s="21">
        <v>2500</v>
      </c>
      <c r="F21" s="21">
        <f t="shared" si="10"/>
        <v>11873.435</v>
      </c>
      <c r="G21" s="21"/>
      <c r="H21" s="21">
        <f>+(E21+D21)*2.7%</f>
        <v>1308.5010000000002</v>
      </c>
      <c r="I21" s="21">
        <v>990</v>
      </c>
      <c r="J21" s="50">
        <f t="shared" si="5"/>
        <v>5108.01</v>
      </c>
      <c r="K21" s="106">
        <f>SUM(F21:J21)</f>
        <v>19279.946</v>
      </c>
      <c r="L21" s="37">
        <f t="shared" si="11"/>
        <v>1915.125</v>
      </c>
      <c r="M21" s="21">
        <f t="shared" si="3"/>
        <v>477.4</v>
      </c>
      <c r="N21" s="38"/>
      <c r="O21" s="108">
        <f>D21</f>
        <v>45963</v>
      </c>
      <c r="P21" s="108"/>
      <c r="Q21" s="108"/>
      <c r="T21" s="105"/>
      <c r="V21" s="108"/>
      <c r="W21" s="108">
        <f>E21</f>
        <v>2500</v>
      </c>
      <c r="Y21" s="108">
        <f t="shared" si="0"/>
        <v>0</v>
      </c>
    </row>
    <row r="22" spans="1:25" s="2" customFormat="1" ht="15" customHeight="1">
      <c r="A22" s="34" t="s">
        <v>590</v>
      </c>
      <c r="B22" s="36" t="s">
        <v>695</v>
      </c>
      <c r="C22" s="15">
        <v>52550</v>
      </c>
      <c r="D22" s="15">
        <v>45459</v>
      </c>
      <c r="E22" s="21">
        <v>2500</v>
      </c>
      <c r="F22" s="21">
        <f>+(D22+E22)*$F$2</f>
        <v>11749.955</v>
      </c>
      <c r="G22" s="21"/>
      <c r="H22" s="21">
        <f>+(E22+D22)*2.7%</f>
        <v>1294.8930000000003</v>
      </c>
      <c r="I22" s="21">
        <v>742.5</v>
      </c>
      <c r="J22" s="50">
        <f t="shared" si="5"/>
        <v>5108.01</v>
      </c>
      <c r="K22" s="106">
        <f>SUM(F22:J22)</f>
        <v>18895.358</v>
      </c>
      <c r="L22" s="37">
        <f>D22/24</f>
        <v>1894.125</v>
      </c>
      <c r="M22" s="21">
        <f t="shared" si="3"/>
        <v>477.4</v>
      </c>
      <c r="N22" s="38"/>
      <c r="O22" s="108">
        <f>+D22</f>
        <v>45459</v>
      </c>
      <c r="P22" s="208"/>
      <c r="Q22" s="208"/>
      <c r="R22" s="208"/>
      <c r="V22" s="108"/>
      <c r="W22" s="108">
        <f>E22</f>
        <v>2500</v>
      </c>
      <c r="Y22" s="108">
        <f>D22+E22-O22-P22-Q22-R22-S22-T22-U22-V22-X22-W22</f>
        <v>0</v>
      </c>
    </row>
    <row r="23" spans="1:25" s="2" customFormat="1" ht="15" customHeight="1">
      <c r="A23" s="34" t="s">
        <v>590</v>
      </c>
      <c r="B23" s="36" t="s">
        <v>662</v>
      </c>
      <c r="C23" s="15">
        <v>52550</v>
      </c>
      <c r="D23" s="15">
        <v>45459</v>
      </c>
      <c r="E23" s="21">
        <v>2500</v>
      </c>
      <c r="F23" s="21">
        <f>+(D23+E23)*$F$2</f>
        <v>11749.955</v>
      </c>
      <c r="G23" s="21"/>
      <c r="H23" s="21">
        <f>+(E23+D23)*2.7%</f>
        <v>1294.8930000000003</v>
      </c>
      <c r="I23" s="21">
        <v>742.5</v>
      </c>
      <c r="J23" s="50">
        <f>429.8*9</f>
        <v>3868.2000000000003</v>
      </c>
      <c r="K23" s="106">
        <f>SUM(F23:J23)</f>
        <v>17655.548</v>
      </c>
      <c r="L23" s="37">
        <f>D23/24</f>
        <v>1894.125</v>
      </c>
      <c r="M23" s="21">
        <f t="shared" si="3"/>
        <v>477.4</v>
      </c>
      <c r="N23" s="38"/>
      <c r="O23" s="108">
        <f>+D23</f>
        <v>45459</v>
      </c>
      <c r="P23" s="208"/>
      <c r="Q23" s="208"/>
      <c r="R23" s="208"/>
      <c r="V23" s="108"/>
      <c r="W23" s="108">
        <f>E23</f>
        <v>2500</v>
      </c>
      <c r="Y23" s="108">
        <f t="shared" si="0"/>
        <v>0</v>
      </c>
    </row>
    <row r="24" spans="1:25" s="2" customFormat="1" ht="15" customHeight="1">
      <c r="A24" s="34" t="s">
        <v>590</v>
      </c>
      <c r="B24" s="36" t="s">
        <v>694</v>
      </c>
      <c r="C24" s="15"/>
      <c r="D24" s="15">
        <v>45963</v>
      </c>
      <c r="E24" s="21">
        <v>2500</v>
      </c>
      <c r="F24" s="21">
        <f>+(D24+E24)*$F$2</f>
        <v>11873.435</v>
      </c>
      <c r="G24" s="21"/>
      <c r="H24" s="21">
        <f>+(E24+D24)*2.7%</f>
        <v>1308.5010000000002</v>
      </c>
      <c r="I24" s="21">
        <v>742.5</v>
      </c>
      <c r="J24" s="50">
        <f>429.8*9</f>
        <v>3868.2000000000003</v>
      </c>
      <c r="K24" s="106">
        <f>SUM(F24:J24)</f>
        <v>17792.636</v>
      </c>
      <c r="L24" s="37">
        <f>D24/24</f>
        <v>1915.125</v>
      </c>
      <c r="M24" s="21">
        <f t="shared" si="3"/>
        <v>477.4</v>
      </c>
      <c r="N24" s="38"/>
      <c r="O24" s="108">
        <f>D24</f>
        <v>45963</v>
      </c>
      <c r="P24" s="108"/>
      <c r="Q24" s="108"/>
      <c r="T24" s="105"/>
      <c r="V24" s="108"/>
      <c r="W24" s="108">
        <f>E24</f>
        <v>2500</v>
      </c>
      <c r="Y24" s="108">
        <f>D24+E24-O24-P24-Q24-R24-S24-T24-U24-V24-X24-W24</f>
        <v>0</v>
      </c>
    </row>
    <row r="25" spans="1:25" s="2" customFormat="1" ht="15" customHeight="1">
      <c r="A25" s="34" t="s">
        <v>590</v>
      </c>
      <c r="B25" s="36" t="s">
        <v>656</v>
      </c>
      <c r="C25" s="15"/>
      <c r="D25" s="15">
        <v>45459</v>
      </c>
      <c r="E25" s="21">
        <v>2500</v>
      </c>
      <c r="F25" s="21">
        <f t="shared" si="10"/>
        <v>11749.955</v>
      </c>
      <c r="G25" s="21"/>
      <c r="H25" s="21">
        <f t="shared" si="4"/>
        <v>1294.8930000000003</v>
      </c>
      <c r="I25" s="21">
        <v>742.5</v>
      </c>
      <c r="J25" s="50">
        <f>429.8*9</f>
        <v>3868.2000000000003</v>
      </c>
      <c r="K25" s="106">
        <f t="shared" si="6"/>
        <v>17655.548</v>
      </c>
      <c r="L25" s="37">
        <f t="shared" si="11"/>
        <v>1894.125</v>
      </c>
      <c r="M25" s="21">
        <f t="shared" si="3"/>
        <v>477.4</v>
      </c>
      <c r="N25" s="38"/>
      <c r="O25" s="108">
        <f t="shared" si="9"/>
        <v>45459</v>
      </c>
      <c r="P25" s="108"/>
      <c r="Q25" s="108"/>
      <c r="T25" s="105"/>
      <c r="V25" s="108"/>
      <c r="W25" s="108">
        <f t="shared" si="8"/>
        <v>2500</v>
      </c>
      <c r="Y25" s="108">
        <f t="shared" si="0"/>
        <v>0</v>
      </c>
    </row>
    <row r="26" spans="1:25" s="2" customFormat="1" ht="15" customHeight="1">
      <c r="A26" s="34" t="s">
        <v>590</v>
      </c>
      <c r="B26" s="36" t="s">
        <v>657</v>
      </c>
      <c r="C26" s="15">
        <v>48430</v>
      </c>
      <c r="D26" s="15">
        <v>45459</v>
      </c>
      <c r="E26" s="21">
        <v>2500</v>
      </c>
      <c r="F26" s="21">
        <f>+(D26+E26)*$F$2</f>
        <v>11749.955</v>
      </c>
      <c r="G26" s="21"/>
      <c r="H26" s="21">
        <f>+(E26+D26)*2.7%</f>
        <v>1294.8930000000003</v>
      </c>
      <c r="I26" s="21">
        <v>742.5</v>
      </c>
      <c r="J26" s="50">
        <f>429.8*9</f>
        <v>3868.2000000000003</v>
      </c>
      <c r="K26" s="106">
        <f>SUM(F26:J26)</f>
        <v>17655.548</v>
      </c>
      <c r="L26" s="37">
        <f>D26/24</f>
        <v>1894.125</v>
      </c>
      <c r="M26" s="21">
        <f t="shared" si="3"/>
        <v>477.4</v>
      </c>
      <c r="N26" s="38"/>
      <c r="O26" s="108">
        <f>D26</f>
        <v>45459</v>
      </c>
      <c r="P26" s="208"/>
      <c r="Q26" s="208"/>
      <c r="R26" s="208"/>
      <c r="W26" s="108">
        <f>E26</f>
        <v>2500</v>
      </c>
      <c r="Y26" s="108">
        <f t="shared" si="0"/>
        <v>0</v>
      </c>
    </row>
    <row r="27" spans="1:25" s="2" customFormat="1" ht="15" customHeight="1">
      <c r="A27" s="34" t="s">
        <v>590</v>
      </c>
      <c r="B27" s="36" t="s">
        <v>655</v>
      </c>
      <c r="C27" s="15">
        <v>43294</v>
      </c>
      <c r="D27" s="15">
        <v>45459</v>
      </c>
      <c r="E27" s="21">
        <v>2500</v>
      </c>
      <c r="F27" s="21">
        <f>+(D27+E27)*$F$2</f>
        <v>11749.955</v>
      </c>
      <c r="G27" s="21"/>
      <c r="H27" s="21">
        <f>+(E27+D27)*2.7%</f>
        <v>1294.8930000000003</v>
      </c>
      <c r="I27" s="21">
        <v>742.5</v>
      </c>
      <c r="J27" s="50">
        <f>429.8*9</f>
        <v>3868.2000000000003</v>
      </c>
      <c r="K27" s="106">
        <f>SUM(F27:J27)</f>
        <v>17655.548</v>
      </c>
      <c r="L27" s="37">
        <f>D27/24</f>
        <v>1894.125</v>
      </c>
      <c r="M27" s="21">
        <f t="shared" si="3"/>
        <v>477.4</v>
      </c>
      <c r="N27" s="38"/>
      <c r="O27" s="108">
        <f>D27</f>
        <v>45459</v>
      </c>
      <c r="W27" s="108">
        <f>E27</f>
        <v>2500</v>
      </c>
      <c r="Y27" s="108">
        <f t="shared" si="0"/>
        <v>0</v>
      </c>
    </row>
    <row r="28" spans="1:25" ht="15" customHeight="1">
      <c r="A28" s="116" t="s">
        <v>590</v>
      </c>
      <c r="B28" s="49" t="s">
        <v>707</v>
      </c>
      <c r="C28" s="15"/>
      <c r="D28" s="15">
        <v>15000</v>
      </c>
      <c r="E28" s="106"/>
      <c r="F28" s="21">
        <f>+(D28+E28)*23.7%</f>
        <v>3555</v>
      </c>
      <c r="G28" s="21"/>
      <c r="H28" s="21">
        <f t="shared" si="4"/>
        <v>405.00000000000006</v>
      </c>
      <c r="I28" s="21"/>
      <c r="J28" s="106"/>
      <c r="K28" s="106">
        <f t="shared" si="6"/>
        <v>3960</v>
      </c>
      <c r="L28" s="40">
        <f>D28/24</f>
        <v>625</v>
      </c>
      <c r="M28" s="152"/>
      <c r="N28" s="40"/>
      <c r="O28" s="107">
        <f>D28</f>
        <v>15000</v>
      </c>
      <c r="W28" s="108">
        <f t="shared" si="8"/>
        <v>0</v>
      </c>
      <c r="Y28" s="108">
        <f t="shared" si="0"/>
        <v>0</v>
      </c>
    </row>
    <row r="29" spans="1:25" ht="15" customHeight="1">
      <c r="A29" s="17"/>
      <c r="B29" s="17" t="s">
        <v>576</v>
      </c>
      <c r="C29" s="18">
        <f aca="true" t="shared" si="12" ref="C29:K29">SUM(C9:C28)</f>
        <v>672843</v>
      </c>
      <c r="D29" s="18">
        <f t="shared" si="12"/>
        <v>937382</v>
      </c>
      <c r="E29" s="18">
        <f t="shared" si="12"/>
        <v>47500</v>
      </c>
      <c r="F29" s="18">
        <f t="shared" si="12"/>
        <v>241176.0899999999</v>
      </c>
      <c r="G29" s="18">
        <f t="shared" si="12"/>
        <v>0</v>
      </c>
      <c r="H29" s="18">
        <f t="shared" si="12"/>
        <v>26591.814000000002</v>
      </c>
      <c r="I29" s="18">
        <f>SUM(I9:I28)</f>
        <v>17077.5</v>
      </c>
      <c r="J29" s="18">
        <f t="shared" si="12"/>
        <v>90853.14</v>
      </c>
      <c r="K29" s="18">
        <f t="shared" si="12"/>
        <v>375698.54400000005</v>
      </c>
      <c r="M29" s="18">
        <f>SUM(M9:M28)</f>
        <v>9070.599999999997</v>
      </c>
      <c r="O29" s="18">
        <f aca="true" t="shared" si="13" ref="O29:X29">SUM(O9:O28)</f>
        <v>729523</v>
      </c>
      <c r="P29" s="18">
        <f t="shared" si="13"/>
        <v>49155</v>
      </c>
      <c r="Q29" s="18">
        <f t="shared" si="13"/>
        <v>0</v>
      </c>
      <c r="R29" s="18">
        <f t="shared" si="13"/>
        <v>0</v>
      </c>
      <c r="S29" s="18">
        <f t="shared" si="13"/>
        <v>0</v>
      </c>
      <c r="T29" s="18">
        <f t="shared" si="13"/>
        <v>0</v>
      </c>
      <c r="U29" s="18">
        <f t="shared" si="13"/>
        <v>0</v>
      </c>
      <c r="V29" s="18">
        <f t="shared" si="13"/>
        <v>158704</v>
      </c>
      <c r="W29" s="18">
        <f t="shared" si="13"/>
        <v>47500</v>
      </c>
      <c r="X29" s="18">
        <f t="shared" si="13"/>
        <v>0</v>
      </c>
      <c r="Y29" s="108">
        <f t="shared" si="0"/>
        <v>0</v>
      </c>
    </row>
    <row r="30" spans="1:25" s="2" customFormat="1" ht="15" customHeight="1">
      <c r="A30" s="19"/>
      <c r="B30" s="19"/>
      <c r="C30" s="16"/>
      <c r="D30" s="16"/>
      <c r="E30" s="16"/>
      <c r="F30" s="16"/>
      <c r="G30" s="16"/>
      <c r="H30" s="16"/>
      <c r="I30" s="16"/>
      <c r="J30" s="16"/>
      <c r="K30" s="16"/>
      <c r="Y30" s="108">
        <f t="shared" si="0"/>
        <v>0</v>
      </c>
    </row>
    <row r="31" spans="1:25" ht="31.5" customHeight="1">
      <c r="A31" s="308" t="s">
        <v>279</v>
      </c>
      <c r="B31" s="24" t="s">
        <v>562</v>
      </c>
      <c r="C31" s="25"/>
      <c r="D31" s="11" t="s">
        <v>581</v>
      </c>
      <c r="E31" s="25"/>
      <c r="F31" s="25"/>
      <c r="G31" s="25"/>
      <c r="H31" s="25"/>
      <c r="I31" s="25"/>
      <c r="J31" s="25"/>
      <c r="K31" s="274"/>
      <c r="M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108"/>
    </row>
    <row r="32" spans="1:25" ht="15" customHeight="1" hidden="1">
      <c r="A32" s="35" t="s">
        <v>598</v>
      </c>
      <c r="B32" s="14" t="s">
        <v>103</v>
      </c>
      <c r="C32" s="209">
        <f>15*7*185</f>
        <v>19425</v>
      </c>
      <c r="D32" s="15"/>
      <c r="E32" s="26"/>
      <c r="F32" s="26"/>
      <c r="G32" s="21">
        <f>+(E32+D32)*6.2%</f>
        <v>0</v>
      </c>
      <c r="H32" s="21">
        <f aca="true" t="shared" si="14" ref="H32:H40">+(E32+D32)*2.7%</f>
        <v>0</v>
      </c>
      <c r="I32" s="21"/>
      <c r="J32" s="26"/>
      <c r="K32" s="106">
        <f aca="true" t="shared" si="15" ref="K32:K44">SUM(F32:J32)</f>
        <v>0</v>
      </c>
      <c r="L32" s="37">
        <f aca="true" t="shared" si="16" ref="L32:L44">D32/24</f>
        <v>0</v>
      </c>
      <c r="M32" s="152"/>
      <c r="O32" s="46">
        <f aca="true" t="shared" si="17" ref="O32:O37">D32+E32-P32</f>
        <v>0</v>
      </c>
      <c r="P32" s="3">
        <f aca="true" t="shared" si="18" ref="P32:P37">D32+E32</f>
        <v>0</v>
      </c>
      <c r="Q32" s="3"/>
      <c r="Y32" s="108">
        <f aca="true" t="shared" si="19" ref="Y32:Y55">D32+E32-O32-P32-Q32-R32-S32-T32-U32-V32-X32-W32</f>
        <v>0</v>
      </c>
    </row>
    <row r="33" spans="1:25" ht="15" customHeight="1" hidden="1">
      <c r="A33" s="35" t="s">
        <v>598</v>
      </c>
      <c r="B33" s="14" t="s">
        <v>104</v>
      </c>
      <c r="C33" s="209">
        <f>15*7*185</f>
        <v>19425</v>
      </c>
      <c r="D33" s="15"/>
      <c r="E33" s="26"/>
      <c r="F33" s="26"/>
      <c r="G33" s="21">
        <f>+(E33+D33)*6.2%</f>
        <v>0</v>
      </c>
      <c r="H33" s="21">
        <f t="shared" si="14"/>
        <v>0</v>
      </c>
      <c r="I33" s="21"/>
      <c r="J33" s="26"/>
      <c r="K33" s="106">
        <f t="shared" si="15"/>
        <v>0</v>
      </c>
      <c r="L33" s="37">
        <f t="shared" si="16"/>
        <v>0</v>
      </c>
      <c r="M33" s="152"/>
      <c r="O33" s="46">
        <f t="shared" si="17"/>
        <v>0</v>
      </c>
      <c r="P33" s="3">
        <f t="shared" si="18"/>
        <v>0</v>
      </c>
      <c r="Q33" s="3"/>
      <c r="Y33" s="108">
        <f t="shared" si="19"/>
        <v>0</v>
      </c>
    </row>
    <row r="34" spans="1:25" ht="15" customHeight="1" hidden="1">
      <c r="A34" s="35" t="s">
        <v>598</v>
      </c>
      <c r="B34" s="14" t="s">
        <v>606</v>
      </c>
      <c r="C34" s="209">
        <f>15*7*185</f>
        <v>19425</v>
      </c>
      <c r="D34" s="15"/>
      <c r="E34" s="26"/>
      <c r="F34" s="26"/>
      <c r="G34" s="21">
        <f>+(E34+D34)*6.2%</f>
        <v>0</v>
      </c>
      <c r="H34" s="21">
        <f t="shared" si="14"/>
        <v>0</v>
      </c>
      <c r="I34" s="21"/>
      <c r="J34" s="26"/>
      <c r="K34" s="106">
        <f t="shared" si="15"/>
        <v>0</v>
      </c>
      <c r="L34" s="37">
        <f t="shared" si="16"/>
        <v>0</v>
      </c>
      <c r="M34" s="152"/>
      <c r="O34" s="46">
        <f t="shared" si="17"/>
        <v>0</v>
      </c>
      <c r="P34" s="3">
        <f t="shared" si="18"/>
        <v>0</v>
      </c>
      <c r="Q34" s="3"/>
      <c r="Y34" s="108">
        <f t="shared" si="19"/>
        <v>0</v>
      </c>
    </row>
    <row r="35" spans="1:25" ht="15" customHeight="1" hidden="1">
      <c r="A35" s="35" t="s">
        <v>598</v>
      </c>
      <c r="B35" s="14" t="s">
        <v>607</v>
      </c>
      <c r="C35" s="209">
        <f>20*4*185</f>
        <v>14800</v>
      </c>
      <c r="D35" s="21"/>
      <c r="E35" s="26"/>
      <c r="F35" s="21">
        <f>+(D35+E35)*20.2%</f>
        <v>0</v>
      </c>
      <c r="G35" s="21">
        <v>0</v>
      </c>
      <c r="H35" s="21">
        <f t="shared" si="14"/>
        <v>0</v>
      </c>
      <c r="I35" s="21"/>
      <c r="J35" s="50"/>
      <c r="K35" s="106">
        <f t="shared" si="15"/>
        <v>0</v>
      </c>
      <c r="L35" s="37">
        <f t="shared" si="16"/>
        <v>0</v>
      </c>
      <c r="M35" s="152"/>
      <c r="O35" s="46">
        <f t="shared" si="17"/>
        <v>0</v>
      </c>
      <c r="P35" s="3">
        <f t="shared" si="18"/>
        <v>0</v>
      </c>
      <c r="Q35" s="3"/>
      <c r="Y35" s="108">
        <f t="shared" si="19"/>
        <v>0</v>
      </c>
    </row>
    <row r="36" spans="1:25" ht="15" customHeight="1" hidden="1">
      <c r="A36" s="35" t="s">
        <v>598</v>
      </c>
      <c r="B36" s="14" t="s">
        <v>601</v>
      </c>
      <c r="C36" s="209">
        <f aca="true" t="shared" si="20" ref="C36:C41">15*7*185</f>
        <v>19425</v>
      </c>
      <c r="D36" s="21"/>
      <c r="E36" s="26"/>
      <c r="F36" s="21">
        <f>+(D36+E36)*20.2%</f>
        <v>0</v>
      </c>
      <c r="G36" s="21">
        <v>0</v>
      </c>
      <c r="H36" s="21">
        <f t="shared" si="14"/>
        <v>0</v>
      </c>
      <c r="I36" s="21"/>
      <c r="J36" s="50"/>
      <c r="K36" s="106">
        <f t="shared" si="15"/>
        <v>0</v>
      </c>
      <c r="L36" s="37">
        <f t="shared" si="16"/>
        <v>0</v>
      </c>
      <c r="M36" s="152"/>
      <c r="O36" s="46">
        <f t="shared" si="17"/>
        <v>0</v>
      </c>
      <c r="P36" s="3">
        <f t="shared" si="18"/>
        <v>0</v>
      </c>
      <c r="Q36" s="3"/>
      <c r="Y36" s="108">
        <f t="shared" si="19"/>
        <v>0</v>
      </c>
    </row>
    <row r="37" spans="1:25" ht="15" customHeight="1" hidden="1">
      <c r="A37" s="35" t="s">
        <v>598</v>
      </c>
      <c r="B37" s="14" t="s">
        <v>259</v>
      </c>
      <c r="C37" s="209">
        <f t="shared" si="20"/>
        <v>19425</v>
      </c>
      <c r="D37" s="21"/>
      <c r="E37" s="26"/>
      <c r="F37" s="26"/>
      <c r="G37" s="21">
        <f>+(E37+D37)*6.2%</f>
        <v>0</v>
      </c>
      <c r="H37" s="21">
        <f t="shared" si="14"/>
        <v>0</v>
      </c>
      <c r="I37" s="21"/>
      <c r="J37" s="26"/>
      <c r="K37" s="106">
        <f t="shared" si="15"/>
        <v>0</v>
      </c>
      <c r="L37" s="37">
        <f t="shared" si="16"/>
        <v>0</v>
      </c>
      <c r="M37" s="152"/>
      <c r="O37" s="46">
        <f t="shared" si="17"/>
        <v>0</v>
      </c>
      <c r="P37" s="3">
        <f t="shared" si="18"/>
        <v>0</v>
      </c>
      <c r="Q37" s="3"/>
      <c r="Y37" s="108">
        <f t="shared" si="19"/>
        <v>0</v>
      </c>
    </row>
    <row r="38" spans="1:25" ht="15" customHeight="1">
      <c r="A38" s="116"/>
      <c r="B38" s="14"/>
      <c r="C38" s="21"/>
      <c r="D38" s="15"/>
      <c r="E38" s="26"/>
      <c r="F38" s="26"/>
      <c r="G38" s="21"/>
      <c r="H38" s="21"/>
      <c r="I38" s="21"/>
      <c r="J38" s="26"/>
      <c r="K38" s="106"/>
      <c r="L38" s="37"/>
      <c r="M38" s="21"/>
      <c r="O38" s="46"/>
      <c r="P38" s="3"/>
      <c r="Q38" s="3"/>
      <c r="W38" s="3"/>
      <c r="Y38" s="108"/>
    </row>
    <row r="39" spans="1:25" ht="15" customHeight="1">
      <c r="A39" s="116" t="s">
        <v>3</v>
      </c>
      <c r="B39" s="14" t="s">
        <v>652</v>
      </c>
      <c r="C39" s="21">
        <f t="shared" si="20"/>
        <v>19425</v>
      </c>
      <c r="D39" s="50">
        <v>19215</v>
      </c>
      <c r="E39" s="26">
        <v>500</v>
      </c>
      <c r="F39" s="26"/>
      <c r="G39" s="21">
        <f>+(E39+D39)*$G$2</f>
        <v>1222.33</v>
      </c>
      <c r="H39" s="21">
        <f t="shared" si="14"/>
        <v>532.3050000000001</v>
      </c>
      <c r="I39" s="21"/>
      <c r="J39" s="26"/>
      <c r="K39" s="106">
        <f t="shared" si="15"/>
        <v>1754.635</v>
      </c>
      <c r="L39" s="37">
        <f t="shared" si="16"/>
        <v>800.625</v>
      </c>
      <c r="M39" s="21">
        <f aca="true" t="shared" si="21" ref="M39:M46">7700*$M$2</f>
        <v>477.4</v>
      </c>
      <c r="O39" s="46"/>
      <c r="P39" s="3">
        <f>+D39</f>
        <v>19215</v>
      </c>
      <c r="Q39" s="3"/>
      <c r="W39" s="3">
        <f>+E39</f>
        <v>500</v>
      </c>
      <c r="Y39" s="108">
        <f t="shared" si="19"/>
        <v>0</v>
      </c>
    </row>
    <row r="40" spans="1:25" ht="15" customHeight="1">
      <c r="A40" s="116" t="s">
        <v>3</v>
      </c>
      <c r="B40" s="14" t="s">
        <v>666</v>
      </c>
      <c r="C40" s="21">
        <f t="shared" si="20"/>
        <v>19425</v>
      </c>
      <c r="D40" s="50">
        <v>19215</v>
      </c>
      <c r="E40" s="26">
        <v>500</v>
      </c>
      <c r="F40" s="26"/>
      <c r="G40" s="21">
        <f>+(E40+D40)*$G$2</f>
        <v>1222.33</v>
      </c>
      <c r="H40" s="21">
        <f t="shared" si="14"/>
        <v>532.3050000000001</v>
      </c>
      <c r="I40" s="21"/>
      <c r="J40" s="26"/>
      <c r="K40" s="106">
        <f>SUM(F40:J40)</f>
        <v>1754.635</v>
      </c>
      <c r="L40" s="37">
        <f>D40/24</f>
        <v>800.625</v>
      </c>
      <c r="M40" s="21">
        <f t="shared" si="21"/>
        <v>477.4</v>
      </c>
      <c r="O40" s="3"/>
      <c r="P40" s="3">
        <v>19215</v>
      </c>
      <c r="Q40" s="3"/>
      <c r="W40" s="1">
        <v>500</v>
      </c>
      <c r="Y40" s="108">
        <f>D40+E40-O40-P40-Q40-R40-S40-T40-U40-V40-X40-W40</f>
        <v>0</v>
      </c>
    </row>
    <row r="41" spans="1:25" ht="15" customHeight="1">
      <c r="A41" s="116" t="s">
        <v>3</v>
      </c>
      <c r="B41" s="14" t="s">
        <v>666</v>
      </c>
      <c r="C41" s="21">
        <f t="shared" si="20"/>
        <v>19425</v>
      </c>
      <c r="D41" s="50"/>
      <c r="E41" s="26"/>
      <c r="F41" s="26"/>
      <c r="G41" s="21">
        <f>+(E41+D41)*$G$2</f>
        <v>0</v>
      </c>
      <c r="H41" s="21">
        <f>+(E41+D41)*2.7%</f>
        <v>0</v>
      </c>
      <c r="I41" s="21"/>
      <c r="J41" s="26"/>
      <c r="K41" s="106">
        <f>SUM(F41:J41)</f>
        <v>0</v>
      </c>
      <c r="L41" s="37">
        <f>D41/24</f>
        <v>0</v>
      </c>
      <c r="M41" s="21"/>
      <c r="O41" s="3"/>
      <c r="P41" s="3"/>
      <c r="Q41" s="3"/>
      <c r="Y41" s="108">
        <f>D41+E41-O41-P41-Q41-R41-S41-T41-U41-V41-X41-W41</f>
        <v>0</v>
      </c>
    </row>
    <row r="42" spans="1:25" s="2" customFormat="1" ht="15" customHeight="1">
      <c r="A42" s="34" t="s">
        <v>590</v>
      </c>
      <c r="B42" s="36" t="s">
        <v>669</v>
      </c>
      <c r="C42" s="15">
        <v>46000</v>
      </c>
      <c r="D42" s="15">
        <v>25620</v>
      </c>
      <c r="E42" s="21">
        <v>750</v>
      </c>
      <c r="F42" s="21"/>
      <c r="G42" s="21">
        <f>+(E42+D42)*$G$2</f>
        <v>1634.94</v>
      </c>
      <c r="H42" s="21">
        <f>+(E42+D42)*2.7%</f>
        <v>711.9900000000001</v>
      </c>
      <c r="I42" s="21"/>
      <c r="J42" s="26"/>
      <c r="K42" s="106">
        <f t="shared" si="15"/>
        <v>2346.9300000000003</v>
      </c>
      <c r="L42" s="37">
        <f t="shared" si="16"/>
        <v>1067.5</v>
      </c>
      <c r="M42" s="21">
        <f t="shared" si="21"/>
        <v>477.4</v>
      </c>
      <c r="N42" s="38"/>
      <c r="O42" s="108">
        <v>25620</v>
      </c>
      <c r="P42" s="208"/>
      <c r="Q42" s="208"/>
      <c r="R42" s="208"/>
      <c r="W42" s="108">
        <f>E42</f>
        <v>750</v>
      </c>
      <c r="Y42" s="108">
        <f t="shared" si="19"/>
        <v>0</v>
      </c>
    </row>
    <row r="43" spans="1:25" ht="15" customHeight="1">
      <c r="A43" s="116"/>
      <c r="B43" s="14"/>
      <c r="C43" s="21"/>
      <c r="D43" s="21"/>
      <c r="E43" s="26"/>
      <c r="F43" s="26"/>
      <c r="G43" s="21"/>
      <c r="H43" s="21"/>
      <c r="I43" s="21"/>
      <c r="J43" s="26"/>
      <c r="K43" s="106"/>
      <c r="L43" s="309"/>
      <c r="M43" s="21"/>
      <c r="O43" s="3"/>
      <c r="Y43" s="108"/>
    </row>
    <row r="44" spans="1:25" ht="15" customHeight="1">
      <c r="A44" s="116" t="s">
        <v>598</v>
      </c>
      <c r="B44" s="14" t="s">
        <v>667</v>
      </c>
      <c r="C44" s="21"/>
      <c r="D44" s="21">
        <v>19215</v>
      </c>
      <c r="E44" s="26">
        <v>500</v>
      </c>
      <c r="F44" s="26"/>
      <c r="G44" s="21">
        <f>+(E44+D44)*$G$2</f>
        <v>1222.33</v>
      </c>
      <c r="H44" s="21">
        <f>+(E44+D44)*2.7%</f>
        <v>532.3050000000001</v>
      </c>
      <c r="I44" s="21"/>
      <c r="J44" s="26"/>
      <c r="K44" s="106">
        <f t="shared" si="15"/>
        <v>1754.635</v>
      </c>
      <c r="L44" s="309">
        <f t="shared" si="16"/>
        <v>800.625</v>
      </c>
      <c r="M44" s="21">
        <f t="shared" si="21"/>
        <v>477.4</v>
      </c>
      <c r="O44" s="3"/>
      <c r="P44" s="1">
        <v>19215</v>
      </c>
      <c r="W44" s="1">
        <v>500</v>
      </c>
      <c r="Y44" s="108">
        <f t="shared" si="19"/>
        <v>0</v>
      </c>
    </row>
    <row r="45" spans="1:25" ht="15" customHeight="1">
      <c r="A45" s="116" t="s">
        <v>598</v>
      </c>
      <c r="B45" s="14" t="s">
        <v>710</v>
      </c>
      <c r="C45" s="21"/>
      <c r="D45" s="21">
        <v>19215</v>
      </c>
      <c r="E45" s="26">
        <v>500</v>
      </c>
      <c r="F45" s="26"/>
      <c r="G45" s="21">
        <f>+(E45+D45)*$G$2</f>
        <v>1222.33</v>
      </c>
      <c r="H45" s="21">
        <f>+(E45+D45)*2.7%</f>
        <v>532.3050000000001</v>
      </c>
      <c r="I45" s="21"/>
      <c r="J45" s="26"/>
      <c r="K45" s="106">
        <f>SUM(F45:J45)</f>
        <v>1754.635</v>
      </c>
      <c r="L45" s="309">
        <f>D45/24</f>
        <v>800.625</v>
      </c>
      <c r="M45" s="21">
        <f t="shared" si="21"/>
        <v>477.4</v>
      </c>
      <c r="O45" s="3"/>
      <c r="P45" s="1">
        <v>19215</v>
      </c>
      <c r="W45" s="1">
        <v>500</v>
      </c>
      <c r="Y45" s="108">
        <f>D45+E45-O45-P45-Q45-R45-S45-T45-U45-V45-X45-W45</f>
        <v>0</v>
      </c>
    </row>
    <row r="46" spans="1:25" ht="15" customHeight="1">
      <c r="A46" s="116" t="s">
        <v>598</v>
      </c>
      <c r="B46" s="14" t="s">
        <v>667</v>
      </c>
      <c r="C46" s="21"/>
      <c r="D46" s="21">
        <v>19215</v>
      </c>
      <c r="E46" s="26">
        <v>500</v>
      </c>
      <c r="F46" s="26"/>
      <c r="G46" s="21">
        <f>+(E46+D46)*$G$2</f>
        <v>1222.33</v>
      </c>
      <c r="H46" s="21">
        <f>+(E46+D46)*2.7%</f>
        <v>532.3050000000001</v>
      </c>
      <c r="I46" s="21"/>
      <c r="J46" s="26"/>
      <c r="K46" s="106">
        <f>SUM(F46:J46)</f>
        <v>1754.635</v>
      </c>
      <c r="L46" s="309">
        <f>D46/24</f>
        <v>800.625</v>
      </c>
      <c r="M46" s="21">
        <f t="shared" si="21"/>
        <v>477.4</v>
      </c>
      <c r="O46" s="3">
        <f>+D46</f>
        <v>19215</v>
      </c>
      <c r="W46" s="1">
        <v>500</v>
      </c>
      <c r="Y46" s="108">
        <f>D46+E46-O46-P46-Q46-R46-S46-T46-U46-V46-X46-W46</f>
        <v>0</v>
      </c>
    </row>
    <row r="47" spans="1:25" ht="15" customHeight="1">
      <c r="A47" s="17"/>
      <c r="B47" s="17" t="s">
        <v>488</v>
      </c>
      <c r="C47" s="18">
        <f aca="true" t="shared" si="22" ref="C47:K47">SUM(C32:C46)</f>
        <v>216200</v>
      </c>
      <c r="D47" s="18">
        <f t="shared" si="22"/>
        <v>121695</v>
      </c>
      <c r="E47" s="18">
        <f t="shared" si="22"/>
        <v>3250</v>
      </c>
      <c r="F47" s="18">
        <f t="shared" si="22"/>
        <v>0</v>
      </c>
      <c r="G47" s="18">
        <f t="shared" si="22"/>
        <v>7746.59</v>
      </c>
      <c r="H47" s="18">
        <f t="shared" si="22"/>
        <v>3373.5150000000012</v>
      </c>
      <c r="I47" s="18">
        <f t="shared" si="22"/>
        <v>0</v>
      </c>
      <c r="J47" s="18">
        <f t="shared" si="22"/>
        <v>0</v>
      </c>
      <c r="K47" s="18">
        <f t="shared" si="22"/>
        <v>11120.105000000001</v>
      </c>
      <c r="M47" s="18">
        <f>SUM(M32:M46)</f>
        <v>2864.4</v>
      </c>
      <c r="O47" s="18">
        <f aca="true" t="shared" si="23" ref="O47:X47">SUM(O32:O46)</f>
        <v>44835</v>
      </c>
      <c r="P47" s="18">
        <f t="shared" si="23"/>
        <v>76860</v>
      </c>
      <c r="Q47" s="18">
        <f t="shared" si="23"/>
        <v>0</v>
      </c>
      <c r="R47" s="18">
        <f t="shared" si="23"/>
        <v>0</v>
      </c>
      <c r="S47" s="18">
        <f t="shared" si="23"/>
        <v>0</v>
      </c>
      <c r="T47" s="18">
        <f t="shared" si="23"/>
        <v>0</v>
      </c>
      <c r="U47" s="18">
        <f t="shared" si="23"/>
        <v>0</v>
      </c>
      <c r="V47" s="18">
        <f t="shared" si="23"/>
        <v>0</v>
      </c>
      <c r="W47" s="18">
        <f t="shared" si="23"/>
        <v>3250</v>
      </c>
      <c r="X47" s="18">
        <f t="shared" si="23"/>
        <v>0</v>
      </c>
      <c r="Y47" s="108">
        <f t="shared" si="19"/>
        <v>0</v>
      </c>
    </row>
    <row r="48" spans="1:25" ht="15" customHeight="1" hidden="1">
      <c r="A48" s="9" t="s">
        <v>487</v>
      </c>
      <c r="B48" s="24" t="s">
        <v>562</v>
      </c>
      <c r="C48" s="25"/>
      <c r="D48" s="11" t="s">
        <v>581</v>
      </c>
      <c r="E48" s="25" t="s">
        <v>582</v>
      </c>
      <c r="F48" s="25"/>
      <c r="G48" s="25"/>
      <c r="H48" s="25"/>
      <c r="I48" s="25"/>
      <c r="J48" s="25"/>
      <c r="K48" s="274"/>
      <c r="Y48" s="108" t="e">
        <f t="shared" si="19"/>
        <v>#VALUE!</v>
      </c>
    </row>
    <row r="49" spans="1:25" ht="15" customHeight="1" hidden="1">
      <c r="A49" s="35" t="s">
        <v>598</v>
      </c>
      <c r="B49" s="14"/>
      <c r="C49" s="21"/>
      <c r="D49" s="50" t="s">
        <v>562</v>
      </c>
      <c r="E49" s="26" t="s">
        <v>562</v>
      </c>
      <c r="F49" s="26"/>
      <c r="G49" s="26"/>
      <c r="H49" s="26"/>
      <c r="I49" s="26"/>
      <c r="J49" s="26"/>
      <c r="K49" s="275" t="s">
        <v>562</v>
      </c>
      <c r="O49" s="3"/>
      <c r="Y49" s="108" t="e">
        <f t="shared" si="19"/>
        <v>#VALUE!</v>
      </c>
    </row>
    <row r="50" spans="1:25" ht="15" customHeight="1" hidden="1">
      <c r="A50" s="17"/>
      <c r="B50" s="17" t="s">
        <v>488</v>
      </c>
      <c r="C50" s="18">
        <f>SUM(C49:C49)</f>
        <v>0</v>
      </c>
      <c r="D50" s="18">
        <f>SUM(D49:D49)</f>
        <v>0</v>
      </c>
      <c r="E50" s="18">
        <f>D50*$E$2</f>
        <v>0</v>
      </c>
      <c r="F50" s="18"/>
      <c r="G50" s="18"/>
      <c r="H50" s="18"/>
      <c r="I50" s="18"/>
      <c r="J50" s="18"/>
      <c r="K50" s="18">
        <f>SUM(K49:K49)</f>
        <v>0</v>
      </c>
      <c r="Y50" s="108">
        <f t="shared" si="19"/>
        <v>0</v>
      </c>
    </row>
    <row r="51" spans="1:25" s="2" customFormat="1" ht="15" customHeight="1" hidden="1">
      <c r="A51" s="19"/>
      <c r="B51" s="19" t="s">
        <v>586</v>
      </c>
      <c r="C51" s="16"/>
      <c r="D51" s="16"/>
      <c r="E51" s="16"/>
      <c r="F51" s="16"/>
      <c r="G51" s="16"/>
      <c r="H51" s="16"/>
      <c r="I51" s="16"/>
      <c r="J51" s="16"/>
      <c r="K51" s="16"/>
      <c r="Y51" s="108">
        <f t="shared" si="19"/>
        <v>0</v>
      </c>
    </row>
    <row r="52" spans="1:25" s="2" customFormat="1" ht="15" customHeight="1" hidden="1">
      <c r="A52" s="19"/>
      <c r="B52" s="19" t="s">
        <v>588</v>
      </c>
      <c r="C52" s="44"/>
      <c r="D52" s="44"/>
      <c r="E52" s="44"/>
      <c r="F52" s="44"/>
      <c r="G52" s="44"/>
      <c r="H52" s="44"/>
      <c r="I52" s="44"/>
      <c r="J52" s="44"/>
      <c r="K52" s="44"/>
      <c r="Y52" s="108">
        <f t="shared" si="19"/>
        <v>0</v>
      </c>
    </row>
    <row r="53" spans="1:25" s="2" customFormat="1" ht="15" customHeight="1" hidden="1">
      <c r="A53" s="19"/>
      <c r="B53" s="19" t="s">
        <v>489</v>
      </c>
      <c r="C53" s="16"/>
      <c r="D53" s="16"/>
      <c r="E53" s="16"/>
      <c r="F53" s="16"/>
      <c r="G53" s="16"/>
      <c r="H53" s="16"/>
      <c r="I53" s="16"/>
      <c r="J53" s="16"/>
      <c r="K53" s="16"/>
      <c r="Y53" s="108">
        <f t="shared" si="19"/>
        <v>0</v>
      </c>
    </row>
    <row r="54" spans="1:25" s="2" customFormat="1" ht="15" customHeight="1" hidden="1">
      <c r="A54" s="19"/>
      <c r="B54" s="19" t="s">
        <v>589</v>
      </c>
      <c r="C54" s="16"/>
      <c r="D54" s="16"/>
      <c r="E54" s="16"/>
      <c r="F54" s="16"/>
      <c r="G54" s="16"/>
      <c r="H54" s="16"/>
      <c r="I54" s="16"/>
      <c r="J54" s="16"/>
      <c r="K54" s="16"/>
      <c r="Y54" s="108">
        <f t="shared" si="19"/>
        <v>0</v>
      </c>
    </row>
    <row r="55" spans="1:25" s="2" customFormat="1" ht="15" customHeight="1" hidden="1">
      <c r="A55" s="19"/>
      <c r="B55" s="19"/>
      <c r="C55" s="16"/>
      <c r="D55" s="16"/>
      <c r="E55" s="16"/>
      <c r="F55" s="16"/>
      <c r="G55" s="16"/>
      <c r="H55" s="16"/>
      <c r="I55" s="16"/>
      <c r="J55" s="16"/>
      <c r="K55" s="16"/>
      <c r="Y55" s="108">
        <f t="shared" si="19"/>
        <v>0</v>
      </c>
    </row>
    <row r="56" spans="1:25" ht="25.5" customHeight="1" hidden="1">
      <c r="A56" s="308" t="s">
        <v>130</v>
      </c>
      <c r="B56" s="24" t="s">
        <v>562</v>
      </c>
      <c r="C56" s="25"/>
      <c r="D56" s="11" t="s">
        <v>562</v>
      </c>
      <c r="E56" s="25" t="s">
        <v>562</v>
      </c>
      <c r="F56" s="25"/>
      <c r="G56" s="25"/>
      <c r="H56" s="25"/>
      <c r="I56" s="25"/>
      <c r="J56" s="25"/>
      <c r="K56" s="274"/>
      <c r="M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108"/>
    </row>
    <row r="57" spans="1:25" ht="15" customHeight="1" hidden="1">
      <c r="A57" s="35" t="s">
        <v>590</v>
      </c>
      <c r="B57" s="13" t="s">
        <v>260</v>
      </c>
      <c r="C57" s="26">
        <f>35*100*3</f>
        <v>10500</v>
      </c>
      <c r="D57" s="26"/>
      <c r="E57" s="26"/>
      <c r="F57" s="21">
        <f>+(D57+E57)*23.7%</f>
        <v>0</v>
      </c>
      <c r="G57" s="21">
        <f>+(+D57*6.2%)</f>
        <v>0</v>
      </c>
      <c r="H57" s="21">
        <f>+(E57+D57)*2.7%</f>
        <v>0</v>
      </c>
      <c r="I57" s="21"/>
      <c r="J57" s="26"/>
      <c r="K57" s="106">
        <f>SUM(F57:J57)</f>
        <v>0</v>
      </c>
      <c r="L57" s="37">
        <f>D57/24</f>
        <v>0</v>
      </c>
      <c r="M57" s="152"/>
      <c r="P57" s="3">
        <f>+D57</f>
        <v>0</v>
      </c>
      <c r="Q57" s="2"/>
      <c r="X57" s="3"/>
      <c r="Y57" s="108">
        <f>D57+E57-O57-P57-Q57-R57-S57-T57-U57-V57-X57-W57</f>
        <v>0</v>
      </c>
    </row>
    <row r="58" spans="1:25" ht="15" customHeight="1" hidden="1">
      <c r="A58" s="35" t="s">
        <v>590</v>
      </c>
      <c r="B58" s="13" t="s">
        <v>263</v>
      </c>
      <c r="C58" s="26">
        <f>35*4*20*6</f>
        <v>16800</v>
      </c>
      <c r="D58" s="26"/>
      <c r="E58" s="26"/>
      <c r="F58" s="21">
        <f>+(D58+E58)*23.7%</f>
        <v>0</v>
      </c>
      <c r="G58" s="21">
        <f>+(+D58*6.2%)</f>
        <v>0</v>
      </c>
      <c r="H58" s="21">
        <f>+(E58+D58)*2.7%</f>
        <v>0</v>
      </c>
      <c r="I58" s="21"/>
      <c r="J58" s="26"/>
      <c r="K58" s="106">
        <f>SUM(F58:J58)</f>
        <v>0</v>
      </c>
      <c r="L58" s="37">
        <f>D58/24</f>
        <v>0</v>
      </c>
      <c r="M58" s="152"/>
      <c r="O58" s="177"/>
      <c r="P58" s="3"/>
      <c r="Q58" s="3"/>
      <c r="X58" s="177"/>
      <c r="Y58" s="108">
        <f>D58+E58-O58-P58-Q58-R58-S58-T58-U58-V58-X58-W58</f>
        <v>0</v>
      </c>
    </row>
    <row r="59" spans="1:25" ht="15" customHeight="1" hidden="1">
      <c r="A59" s="35"/>
      <c r="B59" s="13"/>
      <c r="C59" s="26"/>
      <c r="D59" s="26"/>
      <c r="E59" s="26"/>
      <c r="F59" s="26"/>
      <c r="G59" s="26"/>
      <c r="H59" s="21">
        <f>+(E59+D59)*2.7%</f>
        <v>0</v>
      </c>
      <c r="I59" s="21"/>
      <c r="J59" s="26"/>
      <c r="K59" s="106">
        <f>SUM(F59:J59)</f>
        <v>0</v>
      </c>
      <c r="M59" s="13"/>
      <c r="Y59" s="108">
        <f>D59+E59-O59-P59-Q59-R59-S59-T59-U59-V59-X59-W59</f>
        <v>0</v>
      </c>
    </row>
    <row r="60" spans="1:25" ht="15" customHeight="1" hidden="1">
      <c r="A60" s="17"/>
      <c r="B60" s="17" t="s">
        <v>576</v>
      </c>
      <c r="C60" s="18">
        <f aca="true" t="shared" si="24" ref="C60:J60">SUM(C57:C59)</f>
        <v>27300</v>
      </c>
      <c r="D60" s="18">
        <f t="shared" si="24"/>
        <v>0</v>
      </c>
      <c r="E60" s="18">
        <f t="shared" si="24"/>
        <v>0</v>
      </c>
      <c r="F60" s="18">
        <f t="shared" si="24"/>
        <v>0</v>
      </c>
      <c r="G60" s="18">
        <f t="shared" si="24"/>
        <v>0</v>
      </c>
      <c r="H60" s="18">
        <f t="shared" si="24"/>
        <v>0</v>
      </c>
      <c r="I60" s="18"/>
      <c r="J60" s="18">
        <f t="shared" si="24"/>
        <v>0</v>
      </c>
      <c r="K60" s="18">
        <f aca="true" t="shared" si="25" ref="K60:X60">SUM(K57:K59)</f>
        <v>0</v>
      </c>
      <c r="L60" s="18">
        <f t="shared" si="25"/>
        <v>0</v>
      </c>
      <c r="M60" s="18">
        <f t="shared" si="25"/>
        <v>0</v>
      </c>
      <c r="N60" s="16"/>
      <c r="O60" s="18">
        <f t="shared" si="25"/>
        <v>0</v>
      </c>
      <c r="P60" s="18">
        <f t="shared" si="25"/>
        <v>0</v>
      </c>
      <c r="Q60" s="18">
        <f t="shared" si="25"/>
        <v>0</v>
      </c>
      <c r="R60" s="18">
        <f t="shared" si="25"/>
        <v>0</v>
      </c>
      <c r="S60" s="18">
        <f t="shared" si="25"/>
        <v>0</v>
      </c>
      <c r="T60" s="18">
        <f t="shared" si="25"/>
        <v>0</v>
      </c>
      <c r="U60" s="18">
        <f t="shared" si="25"/>
        <v>0</v>
      </c>
      <c r="V60" s="18">
        <f t="shared" si="25"/>
        <v>0</v>
      </c>
      <c r="W60" s="18"/>
      <c r="X60" s="18">
        <f t="shared" si="25"/>
        <v>0</v>
      </c>
      <c r="Y60" s="108">
        <f>D60+E60-O60-P60-Q60-R60-S60-T60-U60-V60-X60-W60</f>
        <v>0</v>
      </c>
    </row>
    <row r="61" spans="1:25" s="2" customFormat="1" ht="15" customHeight="1" hidden="1">
      <c r="A61" s="19"/>
      <c r="B61" s="19"/>
      <c r="C61" s="16"/>
      <c r="D61" s="16"/>
      <c r="E61" s="16"/>
      <c r="F61" s="16"/>
      <c r="G61" s="16"/>
      <c r="H61" s="16"/>
      <c r="I61" s="16"/>
      <c r="J61" s="16"/>
      <c r="K61" s="16"/>
      <c r="Y61" s="108">
        <f>D61+E61-O61-P61-Q61-R61-S61-T61-U61-V61-X61-W61</f>
        <v>0</v>
      </c>
    </row>
    <row r="62" spans="1:25" ht="15" customHeight="1" hidden="1">
      <c r="A62" s="9" t="s">
        <v>279</v>
      </c>
      <c r="B62" s="24" t="s">
        <v>562</v>
      </c>
      <c r="C62" s="25"/>
      <c r="D62" s="11" t="s">
        <v>562</v>
      </c>
      <c r="E62" s="25" t="s">
        <v>562</v>
      </c>
      <c r="F62" s="25"/>
      <c r="G62" s="25"/>
      <c r="H62" s="25"/>
      <c r="I62" s="25"/>
      <c r="J62" s="25"/>
      <c r="K62" s="274"/>
      <c r="M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108"/>
    </row>
    <row r="63" spans="1:25" ht="15" customHeight="1" hidden="1">
      <c r="A63" s="35" t="s">
        <v>598</v>
      </c>
      <c r="B63" s="49" t="s">
        <v>262</v>
      </c>
      <c r="C63" s="26"/>
      <c r="D63" s="26"/>
      <c r="E63" s="26"/>
      <c r="F63" s="26"/>
      <c r="G63" s="21">
        <f>+(+D63*6.2%)</f>
        <v>0</v>
      </c>
      <c r="H63" s="21">
        <f>+(E63+D63)*2.7%</f>
        <v>0</v>
      </c>
      <c r="I63" s="21"/>
      <c r="J63" s="26"/>
      <c r="K63" s="106">
        <f>SUM(F63:J63)</f>
        <v>0</v>
      </c>
      <c r="M63" s="152"/>
      <c r="O63" s="3"/>
      <c r="P63" s="3"/>
      <c r="Q63" s="3"/>
      <c r="X63" s="177"/>
      <c r="Y63" s="108">
        <f aca="true" t="shared" si="26" ref="Y63:Y80">D63+E63-O63-P63-Q63-R63-S63-T63-U63-V63-X63-W63</f>
        <v>0</v>
      </c>
    </row>
    <row r="64" spans="1:25" ht="15" customHeight="1" hidden="1">
      <c r="A64" s="116" t="s">
        <v>598</v>
      </c>
      <c r="B64" s="49" t="s">
        <v>264</v>
      </c>
      <c r="C64" s="26"/>
      <c r="D64" s="26"/>
      <c r="E64" s="26"/>
      <c r="F64" s="26"/>
      <c r="G64" s="21">
        <f>+(+D64*6.2%)</f>
        <v>0</v>
      </c>
      <c r="H64" s="21">
        <f>+(E64+D64)*2.7%</f>
        <v>0</v>
      </c>
      <c r="I64" s="21"/>
      <c r="J64" s="26"/>
      <c r="K64" s="106">
        <f>SUM(F64:J64)</f>
        <v>0</v>
      </c>
      <c r="M64" s="13"/>
      <c r="P64" s="3">
        <f>D64+E64</f>
        <v>0</v>
      </c>
      <c r="Q64" s="3"/>
      <c r="Y64" s="108">
        <f t="shared" si="26"/>
        <v>0</v>
      </c>
    </row>
    <row r="65" spans="1:25" ht="15" customHeight="1" hidden="1">
      <c r="A65" s="17"/>
      <c r="B65" s="17" t="s">
        <v>576</v>
      </c>
      <c r="C65" s="18">
        <f>SUM(C63:C64)</f>
        <v>0</v>
      </c>
      <c r="D65" s="18">
        <f>SUM(D63:D64)</f>
        <v>0</v>
      </c>
      <c r="E65" s="18">
        <f aca="true" t="shared" si="27" ref="E65:X65">SUM(E63:E64)</f>
        <v>0</v>
      </c>
      <c r="F65" s="18">
        <f t="shared" si="27"/>
        <v>0</v>
      </c>
      <c r="G65" s="18">
        <f t="shared" si="27"/>
        <v>0</v>
      </c>
      <c r="H65" s="18">
        <f>SUM(H63:H64)</f>
        <v>0</v>
      </c>
      <c r="I65" s="18"/>
      <c r="J65" s="18">
        <f>SUM(J63:J64)</f>
        <v>0</v>
      </c>
      <c r="K65" s="18">
        <f t="shared" si="27"/>
        <v>0</v>
      </c>
      <c r="L65" s="18">
        <f t="shared" si="27"/>
        <v>0</v>
      </c>
      <c r="M65" s="18"/>
      <c r="N65" s="16"/>
      <c r="O65" s="18">
        <f t="shared" si="27"/>
        <v>0</v>
      </c>
      <c r="P65" s="18">
        <f t="shared" si="27"/>
        <v>0</v>
      </c>
      <c r="Q65" s="18">
        <f t="shared" si="27"/>
        <v>0</v>
      </c>
      <c r="R65" s="18">
        <f t="shared" si="27"/>
        <v>0</v>
      </c>
      <c r="S65" s="18">
        <f t="shared" si="27"/>
        <v>0</v>
      </c>
      <c r="T65" s="18">
        <f t="shared" si="27"/>
        <v>0</v>
      </c>
      <c r="U65" s="18">
        <f t="shared" si="27"/>
        <v>0</v>
      </c>
      <c r="V65" s="18">
        <f t="shared" si="27"/>
        <v>0</v>
      </c>
      <c r="W65" s="18"/>
      <c r="X65" s="18">
        <f t="shared" si="27"/>
        <v>0</v>
      </c>
      <c r="Y65" s="108">
        <f t="shared" si="26"/>
        <v>0</v>
      </c>
    </row>
    <row r="66" spans="1:25" ht="15" customHeight="1" hidden="1">
      <c r="A66" s="24" t="s">
        <v>573</v>
      </c>
      <c r="B66" s="27"/>
      <c r="C66" s="25"/>
      <c r="D66" s="11"/>
      <c r="E66" s="25"/>
      <c r="F66" s="25"/>
      <c r="G66" s="25"/>
      <c r="H66" s="25"/>
      <c r="I66" s="25"/>
      <c r="J66" s="25"/>
      <c r="K66" s="274"/>
      <c r="Y66" s="108">
        <f t="shared" si="26"/>
        <v>0</v>
      </c>
    </row>
    <row r="67" spans="1:25" ht="15" customHeight="1" hidden="1">
      <c r="A67" s="35"/>
      <c r="B67" s="49"/>
      <c r="C67" s="15"/>
      <c r="D67" s="15"/>
      <c r="E67" s="28" t="s">
        <v>562</v>
      </c>
      <c r="F67" s="28"/>
      <c r="G67" s="28"/>
      <c r="H67" s="28"/>
      <c r="I67" s="28"/>
      <c r="J67" s="28"/>
      <c r="K67" s="106"/>
      <c r="L67" s="41">
        <v>1512.14</v>
      </c>
      <c r="M67" s="41"/>
      <c r="N67" s="151"/>
      <c r="Y67" s="108" t="e">
        <f t="shared" si="26"/>
        <v>#VALUE!</v>
      </c>
    </row>
    <row r="68" spans="1:25" ht="15" customHeight="1" hidden="1">
      <c r="A68" s="35" t="s">
        <v>592</v>
      </c>
      <c r="B68" s="49"/>
      <c r="C68" s="15"/>
      <c r="D68" s="15"/>
      <c r="E68" s="28" t="s">
        <v>562</v>
      </c>
      <c r="F68" s="28"/>
      <c r="G68" s="28"/>
      <c r="H68" s="28"/>
      <c r="I68" s="28"/>
      <c r="J68" s="28"/>
      <c r="K68" s="106"/>
      <c r="L68" s="40">
        <v>1923</v>
      </c>
      <c r="M68" s="40"/>
      <c r="N68" s="40"/>
      <c r="Y68" s="108" t="e">
        <f t="shared" si="26"/>
        <v>#VALUE!</v>
      </c>
    </row>
    <row r="69" spans="1:25" ht="15" customHeight="1" hidden="1">
      <c r="A69" s="17"/>
      <c r="B69" s="17" t="s">
        <v>577</v>
      </c>
      <c r="C69" s="18">
        <f>SUM(C67:C68)</f>
        <v>0</v>
      </c>
      <c r="D69" s="18">
        <f>SUM(D67:D68)</f>
        <v>0</v>
      </c>
      <c r="E69" s="18">
        <f>D69*$E$2</f>
        <v>0</v>
      </c>
      <c r="F69" s="18"/>
      <c r="G69" s="18"/>
      <c r="H69" s="18"/>
      <c r="I69" s="18"/>
      <c r="J69" s="18"/>
      <c r="K69" s="18">
        <f>SUM(K67:K68)</f>
        <v>0</v>
      </c>
      <c r="Y69" s="108">
        <f t="shared" si="26"/>
        <v>0</v>
      </c>
    </row>
    <row r="70" spans="1:25" s="2" customFormat="1" ht="15" customHeight="1" hidden="1">
      <c r="A70" s="19"/>
      <c r="B70" s="19" t="s">
        <v>586</v>
      </c>
      <c r="C70" s="16"/>
      <c r="D70" s="16"/>
      <c r="E70" s="16"/>
      <c r="F70" s="16"/>
      <c r="G70" s="16"/>
      <c r="H70" s="16"/>
      <c r="I70" s="16"/>
      <c r="J70" s="16"/>
      <c r="K70" s="16"/>
      <c r="Y70" s="108">
        <f t="shared" si="26"/>
        <v>0</v>
      </c>
    </row>
    <row r="71" spans="1:25" s="2" customFormat="1" ht="15" customHeight="1" hidden="1">
      <c r="A71" s="19"/>
      <c r="B71" s="19" t="s">
        <v>591</v>
      </c>
      <c r="C71" s="16"/>
      <c r="D71" s="16"/>
      <c r="E71" s="16"/>
      <c r="F71" s="16"/>
      <c r="G71" s="16"/>
      <c r="H71" s="16"/>
      <c r="I71" s="16"/>
      <c r="J71" s="16"/>
      <c r="K71" s="16"/>
      <c r="Y71" s="108">
        <f t="shared" si="26"/>
        <v>0</v>
      </c>
    </row>
    <row r="72" spans="1:25" s="2" customFormat="1" ht="15" customHeight="1" hidden="1">
      <c r="A72" s="19"/>
      <c r="B72" s="19" t="s">
        <v>605</v>
      </c>
      <c r="C72" s="16"/>
      <c r="D72" s="16"/>
      <c r="E72" s="16"/>
      <c r="F72" s="16"/>
      <c r="G72" s="16"/>
      <c r="H72" s="16"/>
      <c r="I72" s="16"/>
      <c r="J72" s="16"/>
      <c r="K72" s="16"/>
      <c r="Y72" s="108">
        <f t="shared" si="26"/>
        <v>0</v>
      </c>
    </row>
    <row r="73" spans="1:25" s="2" customFormat="1" ht="15" customHeight="1" hidden="1">
      <c r="A73" s="19"/>
      <c r="B73" s="19" t="s">
        <v>587</v>
      </c>
      <c r="C73" s="16"/>
      <c r="D73" s="16"/>
      <c r="E73" s="16"/>
      <c r="F73" s="16"/>
      <c r="G73" s="16"/>
      <c r="H73" s="16"/>
      <c r="I73" s="16"/>
      <c r="J73" s="16"/>
      <c r="K73" s="16"/>
      <c r="Y73" s="108">
        <f t="shared" si="26"/>
        <v>0</v>
      </c>
    </row>
    <row r="74" spans="1:25" ht="15" customHeight="1">
      <c r="A74" s="13"/>
      <c r="B74" s="13"/>
      <c r="C74" s="29"/>
      <c r="D74" s="30"/>
      <c r="E74" s="29"/>
      <c r="F74" s="29"/>
      <c r="G74" s="29"/>
      <c r="H74" s="29"/>
      <c r="I74" s="29"/>
      <c r="J74" s="29"/>
      <c r="K74" s="273"/>
      <c r="M74" s="13"/>
      <c r="Y74" s="108">
        <f t="shared" si="26"/>
        <v>0</v>
      </c>
    </row>
    <row r="75" spans="1:25" ht="15" customHeight="1">
      <c r="A75" s="24" t="s">
        <v>573</v>
      </c>
      <c r="B75" s="27"/>
      <c r="C75" s="25"/>
      <c r="D75" s="11"/>
      <c r="E75" s="25"/>
      <c r="F75" s="25"/>
      <c r="G75" s="25"/>
      <c r="H75" s="25"/>
      <c r="I75" s="25"/>
      <c r="J75" s="25"/>
      <c r="K75" s="274"/>
      <c r="M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108">
        <f t="shared" si="26"/>
        <v>0</v>
      </c>
    </row>
    <row r="76" spans="1:25" ht="15" customHeight="1">
      <c r="A76" s="34"/>
      <c r="B76" s="49"/>
      <c r="C76" s="21"/>
      <c r="D76" s="50"/>
      <c r="E76" s="21"/>
      <c r="F76" s="21">
        <f>+(D76+E76)*23.7%</f>
        <v>0</v>
      </c>
      <c r="G76" s="21"/>
      <c r="H76" s="21"/>
      <c r="I76" s="21"/>
      <c r="J76" s="50"/>
      <c r="K76" s="50"/>
      <c r="Y76" s="108">
        <f t="shared" si="26"/>
        <v>0</v>
      </c>
    </row>
    <row r="77" spans="1:25" s="2" customFormat="1" ht="15" customHeight="1">
      <c r="A77" s="34" t="s">
        <v>592</v>
      </c>
      <c r="B77" s="36" t="s">
        <v>658</v>
      </c>
      <c r="C77" s="15">
        <v>50000</v>
      </c>
      <c r="D77" s="15">
        <v>48609</v>
      </c>
      <c r="E77" s="50">
        <v>2500</v>
      </c>
      <c r="F77" s="21">
        <f>+(D77+E77)*$F$2</f>
        <v>12521.705</v>
      </c>
      <c r="G77" s="21"/>
      <c r="H77" s="21">
        <f>+(E77+D77)*2.7%</f>
        <v>1379.9430000000002</v>
      </c>
      <c r="I77" s="21">
        <v>990</v>
      </c>
      <c r="J77" s="50">
        <f>(413.27*3)+(429.8*9)</f>
        <v>5108.01</v>
      </c>
      <c r="K77" s="106">
        <f>SUM(F77:J77)</f>
        <v>19999.658000000003</v>
      </c>
      <c r="L77" s="37">
        <f>D77/24</f>
        <v>2025.375</v>
      </c>
      <c r="M77" s="21">
        <f>7700*$M$2</f>
        <v>477.4</v>
      </c>
      <c r="N77" s="40"/>
      <c r="O77" s="108"/>
      <c r="P77" s="108"/>
      <c r="Q77" s="108"/>
      <c r="U77" s="107">
        <f>D77</f>
        <v>48609</v>
      </c>
      <c r="V77" s="108"/>
      <c r="W77" s="108">
        <f>E77</f>
        <v>2500</v>
      </c>
      <c r="Y77" s="108">
        <f t="shared" si="26"/>
        <v>0</v>
      </c>
    </row>
    <row r="78" spans="1:25" s="2" customFormat="1" ht="15" customHeight="1">
      <c r="A78" s="117" t="s">
        <v>592</v>
      </c>
      <c r="B78" s="36" t="s">
        <v>120</v>
      </c>
      <c r="C78" s="15">
        <v>49461</v>
      </c>
      <c r="D78" s="15">
        <v>55465</v>
      </c>
      <c r="E78" s="50">
        <v>2500</v>
      </c>
      <c r="F78" s="21">
        <f>+(D78+E78)*$F$2</f>
        <v>14201.425</v>
      </c>
      <c r="G78" s="21"/>
      <c r="H78" s="21">
        <f>+(E78+D78)*2.7%</f>
        <v>1565.0550000000003</v>
      </c>
      <c r="I78" s="21">
        <v>990</v>
      </c>
      <c r="J78" s="50">
        <f>(413.27*3)+(429.8*9)</f>
        <v>5108.01</v>
      </c>
      <c r="K78" s="106">
        <f>SUM(F78:J78)</f>
        <v>21864.489999999998</v>
      </c>
      <c r="L78" s="37">
        <f>D78/24</f>
        <v>2311.0416666666665</v>
      </c>
      <c r="M78" s="21">
        <f>7700*$M$2</f>
        <v>477.4</v>
      </c>
      <c r="N78" s="40"/>
      <c r="O78" s="108">
        <f>D78</f>
        <v>55465</v>
      </c>
      <c r="P78" s="108"/>
      <c r="Q78" s="108"/>
      <c r="U78" s="107"/>
      <c r="V78" s="108"/>
      <c r="W78" s="108">
        <f>E78</f>
        <v>2500</v>
      </c>
      <c r="X78" s="108"/>
      <c r="Y78" s="108">
        <f t="shared" si="26"/>
        <v>0</v>
      </c>
    </row>
    <row r="79" spans="1:25" ht="15" customHeight="1">
      <c r="A79" s="17"/>
      <c r="B79" s="17" t="s">
        <v>577</v>
      </c>
      <c r="C79" s="18">
        <f aca="true" t="shared" si="28" ref="C79:M79">SUM(C76:C78)</f>
        <v>99461</v>
      </c>
      <c r="D79" s="18">
        <f t="shared" si="28"/>
        <v>104074</v>
      </c>
      <c r="E79" s="18">
        <f t="shared" si="28"/>
        <v>5000</v>
      </c>
      <c r="F79" s="18">
        <f t="shared" si="28"/>
        <v>26723.129999999997</v>
      </c>
      <c r="G79" s="18"/>
      <c r="H79" s="18">
        <f t="shared" si="28"/>
        <v>2944.9980000000005</v>
      </c>
      <c r="I79" s="18">
        <f>SUM(I76:I78)</f>
        <v>1980</v>
      </c>
      <c r="J79" s="18">
        <f t="shared" si="28"/>
        <v>10216.02</v>
      </c>
      <c r="K79" s="18">
        <f t="shared" si="28"/>
        <v>41864.148</v>
      </c>
      <c r="L79" s="18">
        <f t="shared" si="28"/>
        <v>4336.416666666666</v>
      </c>
      <c r="M79" s="18">
        <f t="shared" si="28"/>
        <v>954.8</v>
      </c>
      <c r="N79" s="16"/>
      <c r="O79" s="18">
        <f>+O78</f>
        <v>55465</v>
      </c>
      <c r="P79" s="18">
        <f aca="true" t="shared" si="29" ref="P79:X79">SUM(P77)</f>
        <v>0</v>
      </c>
      <c r="Q79" s="18">
        <f t="shared" si="29"/>
        <v>0</v>
      </c>
      <c r="R79" s="18">
        <f t="shared" si="29"/>
        <v>0</v>
      </c>
      <c r="S79" s="18">
        <f t="shared" si="29"/>
        <v>0</v>
      </c>
      <c r="T79" s="18">
        <f t="shared" si="29"/>
        <v>0</v>
      </c>
      <c r="U79" s="18">
        <f>SUM(U77:U78)</f>
        <v>48609</v>
      </c>
      <c r="V79" s="18">
        <f>SUM(V77:V78)</f>
        <v>0</v>
      </c>
      <c r="W79" s="18">
        <f>SUM(W77:W78)</f>
        <v>5000</v>
      </c>
      <c r="X79" s="18">
        <f t="shared" si="29"/>
        <v>0</v>
      </c>
      <c r="Y79" s="108">
        <f t="shared" si="26"/>
        <v>0</v>
      </c>
    </row>
    <row r="80" spans="1:25" s="2" customFormat="1" ht="15" customHeight="1">
      <c r="A80" s="19"/>
      <c r="B80" s="19"/>
      <c r="C80" s="16"/>
      <c r="D80" s="16"/>
      <c r="E80" s="16"/>
      <c r="F80" s="16"/>
      <c r="G80" s="16"/>
      <c r="H80" s="16"/>
      <c r="I80" s="16"/>
      <c r="J80" s="16"/>
      <c r="K80" s="16"/>
      <c r="Y80" s="108">
        <f t="shared" si="26"/>
        <v>0</v>
      </c>
    </row>
    <row r="81" spans="1:25" ht="15" customHeight="1">
      <c r="A81" s="24" t="s">
        <v>107</v>
      </c>
      <c r="B81" s="24"/>
      <c r="C81" s="25"/>
      <c r="D81" s="11" t="s">
        <v>583</v>
      </c>
      <c r="E81" s="25"/>
      <c r="F81" s="25"/>
      <c r="G81" s="25"/>
      <c r="H81" s="25"/>
      <c r="I81" s="25"/>
      <c r="J81" s="25"/>
      <c r="K81" s="274"/>
      <c r="M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108"/>
    </row>
    <row r="82" spans="1:25" ht="15" customHeight="1">
      <c r="A82" s="117" t="s">
        <v>590</v>
      </c>
      <c r="B82" s="49" t="s">
        <v>108</v>
      </c>
      <c r="C82" s="26">
        <v>50000</v>
      </c>
      <c r="D82" s="15">
        <v>52500</v>
      </c>
      <c r="E82" s="50">
        <v>2500</v>
      </c>
      <c r="F82" s="21">
        <f>+(D82+E82)*$F$2</f>
        <v>13475</v>
      </c>
      <c r="G82" s="21"/>
      <c r="H82" s="21">
        <f>+(E82+D82)*2.7%</f>
        <v>1485.0000000000002</v>
      </c>
      <c r="I82" s="21">
        <v>990</v>
      </c>
      <c r="J82" s="50">
        <f>(413.27*3)+(429.8*9)</f>
        <v>5108.01</v>
      </c>
      <c r="K82" s="106">
        <f>SUM(F82:J82)</f>
        <v>21058.010000000002</v>
      </c>
      <c r="L82" s="37">
        <f>D82/24</f>
        <v>2187.5</v>
      </c>
      <c r="M82" s="21">
        <f>7700*$M$2</f>
        <v>477.4</v>
      </c>
      <c r="O82" s="108"/>
      <c r="P82" s="177">
        <f>+D82</f>
        <v>52500</v>
      </c>
      <c r="U82" s="3"/>
      <c r="V82" s="3"/>
      <c r="W82" s="108">
        <f>E82</f>
        <v>2500</v>
      </c>
      <c r="X82" s="177"/>
      <c r="Y82" s="108">
        <f>D82+E82-O82-P82-Q82-R82-S82-T82-U82-V82-X82-W82</f>
        <v>0</v>
      </c>
    </row>
    <row r="83" spans="1:25" ht="15" customHeight="1">
      <c r="A83" s="117" t="s">
        <v>590</v>
      </c>
      <c r="B83" s="49" t="s">
        <v>649</v>
      </c>
      <c r="C83" s="26"/>
      <c r="D83" s="15">
        <v>45459</v>
      </c>
      <c r="E83" s="50">
        <v>2500</v>
      </c>
      <c r="F83" s="21">
        <f>+(D83+E83)*$F$2</f>
        <v>11749.955</v>
      </c>
      <c r="G83" s="21"/>
      <c r="H83" s="21">
        <f>+(E83+D83)*2.7%</f>
        <v>1294.8930000000003</v>
      </c>
      <c r="I83" s="21">
        <v>990</v>
      </c>
      <c r="J83" s="50">
        <f>(413.27*3)+(429.8*9)</f>
        <v>5108.01</v>
      </c>
      <c r="K83" s="106">
        <f>SUM(F83:J83)</f>
        <v>19142.858</v>
      </c>
      <c r="L83" s="37">
        <f>D83/24</f>
        <v>1894.125</v>
      </c>
      <c r="M83" s="21">
        <f>7700*$M$2</f>
        <v>477.4</v>
      </c>
      <c r="O83" s="108"/>
      <c r="P83" s="177">
        <f>+D83</f>
        <v>45459</v>
      </c>
      <c r="U83" s="3"/>
      <c r="V83" s="3"/>
      <c r="W83" s="108">
        <f>E83</f>
        <v>2500</v>
      </c>
      <c r="X83" s="177"/>
      <c r="Y83" s="108">
        <f>D83+E83-O83-P83-Q83-R83-S83-T83-U83-V83-X83-W83</f>
        <v>0</v>
      </c>
    </row>
    <row r="84" spans="1:25" ht="15" customHeight="1">
      <c r="A84" s="17"/>
      <c r="B84" s="17" t="s">
        <v>578</v>
      </c>
      <c r="C84" s="18">
        <f>SUM(C82:C83)</f>
        <v>50000</v>
      </c>
      <c r="D84" s="18">
        <f>SUM(D82:D83)</f>
        <v>97959</v>
      </c>
      <c r="E84" s="18">
        <f>SUM(E82:E83)</f>
        <v>5000</v>
      </c>
      <c r="F84" s="18">
        <f>SUM(F82:F83)</f>
        <v>25224.955</v>
      </c>
      <c r="G84" s="18"/>
      <c r="H84" s="18">
        <f aca="true" t="shared" si="30" ref="H84:M84">SUM(H82:H83)</f>
        <v>2779.8930000000005</v>
      </c>
      <c r="I84" s="18">
        <f t="shared" si="30"/>
        <v>1980</v>
      </c>
      <c r="J84" s="18">
        <f t="shared" si="30"/>
        <v>10216.02</v>
      </c>
      <c r="K84" s="18">
        <f t="shared" si="30"/>
        <v>40200.868</v>
      </c>
      <c r="L84" s="18">
        <f t="shared" si="30"/>
        <v>4081.625</v>
      </c>
      <c r="M84" s="18">
        <f t="shared" si="30"/>
        <v>954.8</v>
      </c>
      <c r="N84" s="16"/>
      <c r="O84" s="18">
        <f>SUM(O82:O83)</f>
        <v>0</v>
      </c>
      <c r="P84" s="18">
        <f>SUM(P82:P83)</f>
        <v>97959</v>
      </c>
      <c r="Q84" s="18">
        <f aca="true" t="shared" si="31" ref="Q84:V84">SUM(Q82:Q82)</f>
        <v>0</v>
      </c>
      <c r="R84" s="18">
        <f t="shared" si="31"/>
        <v>0</v>
      </c>
      <c r="S84" s="18">
        <f t="shared" si="31"/>
        <v>0</v>
      </c>
      <c r="T84" s="18">
        <f t="shared" si="31"/>
        <v>0</v>
      </c>
      <c r="U84" s="18">
        <f t="shared" si="31"/>
        <v>0</v>
      </c>
      <c r="V84" s="18">
        <f t="shared" si="31"/>
        <v>0</v>
      </c>
      <c r="W84" s="18">
        <f>SUM(W82:W83)</f>
        <v>5000</v>
      </c>
      <c r="X84" s="18">
        <f>SUM(X82:X83)</f>
        <v>0</v>
      </c>
      <c r="Y84" s="108">
        <f>D84+E84-O84-P84-Q84-R84-S84-T84-U84-V84-X84-W84</f>
        <v>0</v>
      </c>
    </row>
    <row r="85" spans="1:25" s="2" customFormat="1" ht="15" customHeight="1">
      <c r="A85" s="19"/>
      <c r="B85" s="19"/>
      <c r="C85" s="16"/>
      <c r="D85" s="16"/>
      <c r="E85" s="16"/>
      <c r="F85" s="16"/>
      <c r="G85" s="16"/>
      <c r="H85" s="16"/>
      <c r="I85" s="16"/>
      <c r="J85" s="16"/>
      <c r="K85" s="16"/>
      <c r="Y85" s="108">
        <f>D85+E85-O85-P85-Q85-R85-S85-T85-U85-V85-X85-W85</f>
        <v>0</v>
      </c>
    </row>
    <row r="86" spans="1:25" ht="15" customHeight="1">
      <c r="A86" s="24" t="s">
        <v>105</v>
      </c>
      <c r="B86" s="27"/>
      <c r="C86" s="25"/>
      <c r="D86" s="11"/>
      <c r="E86" s="25"/>
      <c r="F86" s="25"/>
      <c r="G86" s="25"/>
      <c r="H86" s="25"/>
      <c r="I86" s="25"/>
      <c r="J86" s="25"/>
      <c r="K86" s="274"/>
      <c r="M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108">
        <f>D86+E86-O86-P86-Q86-R86-S86-T86-U86-V86-X86-W86</f>
        <v>0</v>
      </c>
    </row>
    <row r="87" spans="1:25" ht="15" customHeight="1">
      <c r="A87" s="117" t="s">
        <v>663</v>
      </c>
      <c r="B87" s="36" t="s">
        <v>653</v>
      </c>
      <c r="C87" s="21"/>
      <c r="D87" s="15">
        <v>54979</v>
      </c>
      <c r="E87" s="21">
        <v>2500</v>
      </c>
      <c r="F87" s="21">
        <f>+(D87+E87)*$F$2</f>
        <v>14082.355</v>
      </c>
      <c r="G87" s="21"/>
      <c r="H87" s="21">
        <f>+(E87+D87)*2.7%</f>
        <v>1551.9330000000002</v>
      </c>
      <c r="I87" s="21">
        <v>990</v>
      </c>
      <c r="J87" s="50">
        <f>(413.27*3)+(429.8*9)</f>
        <v>5108.01</v>
      </c>
      <c r="K87" s="106">
        <f>SUM(F87:J87)</f>
        <v>21732.298000000003</v>
      </c>
      <c r="L87" s="37">
        <f>D87/24</f>
        <v>2290.7916666666665</v>
      </c>
      <c r="M87" s="21">
        <f>7700*$M$2</f>
        <v>477.4</v>
      </c>
      <c r="N87" s="40"/>
      <c r="O87" s="3"/>
      <c r="P87" s="3"/>
      <c r="Q87" s="3"/>
      <c r="R87" s="176"/>
      <c r="V87" s="3">
        <f aca="true" t="shared" si="32" ref="V87:W89">D87</f>
        <v>54979</v>
      </c>
      <c r="W87" s="108">
        <f t="shared" si="32"/>
        <v>2500</v>
      </c>
      <c r="Y87" s="108"/>
    </row>
    <row r="88" spans="1:25" s="2" customFormat="1" ht="15" customHeight="1">
      <c r="A88" s="117" t="s">
        <v>663</v>
      </c>
      <c r="B88" s="36" t="s">
        <v>668</v>
      </c>
      <c r="C88" s="15">
        <v>52550</v>
      </c>
      <c r="D88" s="15">
        <v>59550</v>
      </c>
      <c r="E88" s="21">
        <v>2500</v>
      </c>
      <c r="F88" s="21">
        <f>+(D88+E88)*$F$2</f>
        <v>15202.25</v>
      </c>
      <c r="G88" s="21"/>
      <c r="H88" s="21">
        <f>+(E88+D88)*2.7%</f>
        <v>1675.3500000000001</v>
      </c>
      <c r="I88" s="21">
        <v>990</v>
      </c>
      <c r="J88" s="50">
        <f>(413.27*3)+(429.8*9)</f>
        <v>5108.01</v>
      </c>
      <c r="K88" s="106">
        <f>SUM(F88:J88)</f>
        <v>22975.61</v>
      </c>
      <c r="L88" s="37">
        <f>D88/24</f>
        <v>2481.25</v>
      </c>
      <c r="M88" s="21">
        <f>7700*$M$2</f>
        <v>477.4</v>
      </c>
      <c r="N88" s="38"/>
      <c r="O88" s="108"/>
      <c r="P88" s="208"/>
      <c r="Q88" s="208"/>
      <c r="R88" s="208"/>
      <c r="V88" s="108">
        <f t="shared" si="32"/>
        <v>59550</v>
      </c>
      <c r="W88" s="108">
        <f t="shared" si="32"/>
        <v>2500</v>
      </c>
      <c r="Y88" s="108">
        <f>D88+E88-O88-P88-Q88-R88-S88-T88-U88-V88-X88-W88</f>
        <v>0</v>
      </c>
    </row>
    <row r="89" spans="1:25" ht="15" customHeight="1">
      <c r="A89" s="117" t="s">
        <v>663</v>
      </c>
      <c r="B89" s="36" t="s">
        <v>693</v>
      </c>
      <c r="C89" s="21"/>
      <c r="D89" s="15">
        <v>61727</v>
      </c>
      <c r="E89" s="21">
        <v>2500</v>
      </c>
      <c r="F89" s="21">
        <f>+(D89+E89)*$F$2</f>
        <v>15735.615</v>
      </c>
      <c r="G89" s="21"/>
      <c r="H89" s="21">
        <f>+(E89+D89)*2.7%</f>
        <v>1734.1290000000001</v>
      </c>
      <c r="I89" s="21">
        <v>990</v>
      </c>
      <c r="J89" s="50">
        <f>(413.27*3)+(429.8*9)</f>
        <v>5108.01</v>
      </c>
      <c r="K89" s="106">
        <f>SUM(F89:J89)</f>
        <v>23567.754</v>
      </c>
      <c r="L89" s="37">
        <f>D89/24</f>
        <v>2571.9583333333335</v>
      </c>
      <c r="M89" s="21">
        <f>7700*$M$2</f>
        <v>477.4</v>
      </c>
      <c r="N89" s="40"/>
      <c r="O89" s="3"/>
      <c r="P89" s="3"/>
      <c r="Q89" s="3"/>
      <c r="R89" s="176"/>
      <c r="V89" s="3">
        <f t="shared" si="32"/>
        <v>61727</v>
      </c>
      <c r="W89" s="108">
        <f t="shared" si="32"/>
        <v>2500</v>
      </c>
      <c r="X89" s="176"/>
      <c r="Y89" s="108">
        <f>D89+E89-O89-P89-Q89-R89-S89-T89-U89-V89-X89-W89</f>
        <v>0</v>
      </c>
    </row>
    <row r="90" spans="1:25" ht="15" customHeight="1">
      <c r="A90" s="17"/>
      <c r="B90" s="312" t="s">
        <v>579</v>
      </c>
      <c r="C90" s="18">
        <f aca="true" t="shared" si="33" ref="C90:M90">SUM(C87:C89)</f>
        <v>52550</v>
      </c>
      <c r="D90" s="311">
        <f t="shared" si="33"/>
        <v>176256</v>
      </c>
      <c r="E90" s="18">
        <f t="shared" si="33"/>
        <v>7500</v>
      </c>
      <c r="F90" s="18">
        <f t="shared" si="33"/>
        <v>45020.22</v>
      </c>
      <c r="G90" s="18">
        <f t="shared" si="33"/>
        <v>0</v>
      </c>
      <c r="H90" s="18">
        <f t="shared" si="33"/>
        <v>4961.412</v>
      </c>
      <c r="I90" s="18">
        <f>SUM(I87:I89)</f>
        <v>2970</v>
      </c>
      <c r="J90" s="18">
        <f t="shared" si="33"/>
        <v>15324.03</v>
      </c>
      <c r="K90" s="18">
        <f t="shared" si="33"/>
        <v>68275.66200000001</v>
      </c>
      <c r="L90" s="18">
        <f t="shared" si="33"/>
        <v>7344</v>
      </c>
      <c r="M90" s="18">
        <f t="shared" si="33"/>
        <v>1432.1999999999998</v>
      </c>
      <c r="O90" s="18">
        <f aca="true" t="shared" si="34" ref="O90:X90">SUM(O87:O87)</f>
        <v>0</v>
      </c>
      <c r="P90" s="18">
        <f>SUM(P87:P89)</f>
        <v>0</v>
      </c>
      <c r="Q90" s="18">
        <f t="shared" si="34"/>
        <v>0</v>
      </c>
      <c r="R90" s="18">
        <f>SUM(R87:R89)</f>
        <v>0</v>
      </c>
      <c r="S90" s="18">
        <f t="shared" si="34"/>
        <v>0</v>
      </c>
      <c r="T90" s="18">
        <f t="shared" si="34"/>
        <v>0</v>
      </c>
      <c r="U90" s="18">
        <f t="shared" si="34"/>
        <v>0</v>
      </c>
      <c r="V90" s="18">
        <f>SUM(V87:V89)</f>
        <v>176256</v>
      </c>
      <c r="W90" s="18">
        <f>SUM(W87:W89)</f>
        <v>7500</v>
      </c>
      <c r="X90" s="18">
        <f t="shared" si="34"/>
        <v>0</v>
      </c>
      <c r="Y90" s="108">
        <f>D90+E90-O90-P90-Q90-R90-S90-T90-U90-V90-X90-W90</f>
        <v>0</v>
      </c>
    </row>
    <row r="91" spans="1:25" s="2" customFormat="1" ht="15" customHeight="1">
      <c r="A91" s="22"/>
      <c r="B91" s="22"/>
      <c r="C91" s="23"/>
      <c r="D91" s="23"/>
      <c r="E91" s="23"/>
      <c r="F91" s="23"/>
      <c r="G91" s="23"/>
      <c r="H91" s="23"/>
      <c r="I91" s="23"/>
      <c r="J91" s="23"/>
      <c r="K91" s="23"/>
      <c r="Y91" s="108">
        <f>D91+E91-O91-P91-Q91-R91-S91-T91-U91-V91-X91-W91</f>
        <v>0</v>
      </c>
    </row>
    <row r="92" spans="1:25" ht="15" customHeight="1">
      <c r="A92" s="24" t="s">
        <v>596</v>
      </c>
      <c r="B92" s="24"/>
      <c r="C92" s="25"/>
      <c r="D92" s="11" t="s">
        <v>562</v>
      </c>
      <c r="E92" s="25" t="s">
        <v>584</v>
      </c>
      <c r="F92" s="25"/>
      <c r="G92" s="25"/>
      <c r="H92" s="25"/>
      <c r="I92" s="25"/>
      <c r="J92" s="25"/>
      <c r="K92" s="274"/>
      <c r="M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108"/>
    </row>
    <row r="93" spans="1:25" ht="15" customHeight="1">
      <c r="A93" s="117" t="s">
        <v>133</v>
      </c>
      <c r="B93" s="48" t="s">
        <v>2</v>
      </c>
      <c r="C93" s="33">
        <v>45000</v>
      </c>
      <c r="D93" s="15">
        <v>51912</v>
      </c>
      <c r="E93" s="15">
        <v>2000</v>
      </c>
      <c r="F93" s="21">
        <f>+(D93+E93)*$F$2</f>
        <v>13208.44</v>
      </c>
      <c r="G93" s="21"/>
      <c r="H93" s="21">
        <f>+(E93+D93)*2.7%</f>
        <v>1455.6240000000003</v>
      </c>
      <c r="I93" s="21">
        <v>990</v>
      </c>
      <c r="J93" s="50">
        <f>(413.27*3)+(429.8*9)</f>
        <v>5108.01</v>
      </c>
      <c r="K93" s="106">
        <f>SUM(F93:J93)</f>
        <v>20762.074</v>
      </c>
      <c r="L93" s="37">
        <f>D93/24</f>
        <v>2163</v>
      </c>
      <c r="M93" s="21">
        <f>7700*$M$2</f>
        <v>477.4</v>
      </c>
      <c r="N93" s="38"/>
      <c r="O93" s="3">
        <f>+D93+E93</f>
        <v>53912</v>
      </c>
      <c r="Y93" s="108">
        <f aca="true" t="shared" si="35" ref="Y93:Y98">D93+E93-O93-P93-Q93-R93-S93-T93-U93-V93-X93-W93</f>
        <v>0</v>
      </c>
    </row>
    <row r="94" spans="1:63" s="2" customFormat="1" ht="15" customHeight="1">
      <c r="A94" s="117" t="s">
        <v>132</v>
      </c>
      <c r="B94" s="310" t="s">
        <v>599</v>
      </c>
      <c r="C94" s="15">
        <v>125000</v>
      </c>
      <c r="D94" s="15">
        <v>125000</v>
      </c>
      <c r="E94" s="15">
        <v>7500</v>
      </c>
      <c r="F94" s="21">
        <f>+(D94+E94)*$F$2</f>
        <v>32462.5</v>
      </c>
      <c r="G94" s="21"/>
      <c r="H94" s="21">
        <f>+(E94+D94)*2.7%</f>
        <v>3577.5000000000005</v>
      </c>
      <c r="I94" s="21">
        <v>990</v>
      </c>
      <c r="J94" s="50">
        <f>(413.27*3)+(429.8*9)</f>
        <v>5108.01</v>
      </c>
      <c r="K94" s="106">
        <f>SUM(F94:J94)</f>
        <v>42138.01</v>
      </c>
      <c r="L94" s="37">
        <f>D94/24</f>
        <v>5208.333333333333</v>
      </c>
      <c r="M94" s="21">
        <f>7700*$M$2</f>
        <v>477.4</v>
      </c>
      <c r="N94" s="38"/>
      <c r="O94" s="3">
        <f>+D94+E94</f>
        <v>132500</v>
      </c>
      <c r="P94" s="1"/>
      <c r="Q94" s="1"/>
      <c r="R94" s="1"/>
      <c r="S94" s="1"/>
      <c r="T94" s="1"/>
      <c r="U94" s="1"/>
      <c r="V94" s="1"/>
      <c r="W94" s="1"/>
      <c r="X94" s="1"/>
      <c r="Y94" s="108">
        <f t="shared" si="35"/>
        <v>0</v>
      </c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5" customHeight="1">
      <c r="A95" s="117" t="s">
        <v>133</v>
      </c>
      <c r="B95" s="48" t="s">
        <v>265</v>
      </c>
      <c r="C95" s="33">
        <v>31200</v>
      </c>
      <c r="D95" s="33">
        <v>34070</v>
      </c>
      <c r="E95" s="15">
        <v>750</v>
      </c>
      <c r="F95" s="21">
        <f>+(D95+E95)*$F$2</f>
        <v>8530.9</v>
      </c>
      <c r="G95" s="21"/>
      <c r="H95" s="21">
        <f>+(E95+D95)*2.7%</f>
        <v>940.1400000000001</v>
      </c>
      <c r="I95" s="21">
        <v>990</v>
      </c>
      <c r="J95" s="50">
        <f>(413.27*3)+(429.8*9)</f>
        <v>5108.01</v>
      </c>
      <c r="K95" s="106">
        <f>SUM(F95:J95)</f>
        <v>15569.05</v>
      </c>
      <c r="L95" s="37">
        <f>D95/24</f>
        <v>1419.5833333333333</v>
      </c>
      <c r="M95" s="21">
        <f>7700*$M$2</f>
        <v>477.4</v>
      </c>
      <c r="N95" s="38"/>
      <c r="O95" s="3">
        <f>+D95+E95</f>
        <v>34820</v>
      </c>
      <c r="P95" s="2"/>
      <c r="Q95" s="2"/>
      <c r="R95" s="2"/>
      <c r="S95" s="2"/>
      <c r="T95" s="2"/>
      <c r="U95" s="2"/>
      <c r="V95" s="2"/>
      <c r="W95" s="2"/>
      <c r="X95" s="2"/>
      <c r="Y95" s="108">
        <f t="shared" si="35"/>
        <v>0</v>
      </c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1:63" ht="15" customHeight="1">
      <c r="A96" s="117" t="s">
        <v>133</v>
      </c>
      <c r="B96" s="48" t="s">
        <v>664</v>
      </c>
      <c r="C96" s="33">
        <v>31200</v>
      </c>
      <c r="D96" s="33">
        <v>25000</v>
      </c>
      <c r="E96" s="15"/>
      <c r="F96" s="21"/>
      <c r="G96" s="21">
        <f>+(E96+D96)*$G$2</f>
        <v>1550</v>
      </c>
      <c r="H96" s="21">
        <f>+(E96+D96)*2.7%</f>
        <v>675.0000000000001</v>
      </c>
      <c r="I96" s="21"/>
      <c r="J96" s="50"/>
      <c r="K96" s="106">
        <f>SUM(F96:J96)</f>
        <v>2225</v>
      </c>
      <c r="L96" s="37">
        <f>D96/24</f>
        <v>1041.6666666666667</v>
      </c>
      <c r="M96" s="21">
        <f>7700*$M$2</f>
        <v>477.4</v>
      </c>
      <c r="N96" s="38"/>
      <c r="O96" s="3">
        <f>+D96+E96</f>
        <v>25000</v>
      </c>
      <c r="P96" s="2"/>
      <c r="Q96" s="2"/>
      <c r="R96" s="2"/>
      <c r="S96" s="2"/>
      <c r="T96" s="2"/>
      <c r="U96" s="2"/>
      <c r="V96" s="2"/>
      <c r="W96" s="2"/>
      <c r="X96" s="2"/>
      <c r="Y96" s="108">
        <f t="shared" si="35"/>
        <v>0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1:25" ht="15" customHeight="1">
      <c r="A97" s="17"/>
      <c r="B97" s="17" t="s">
        <v>580</v>
      </c>
      <c r="C97" s="18">
        <f aca="true" t="shared" si="36" ref="C97:M97">SUM(C93:C96)</f>
        <v>232400</v>
      </c>
      <c r="D97" s="18">
        <f t="shared" si="36"/>
        <v>235982</v>
      </c>
      <c r="E97" s="18">
        <f t="shared" si="36"/>
        <v>10250</v>
      </c>
      <c r="F97" s="18">
        <f t="shared" si="36"/>
        <v>54201.840000000004</v>
      </c>
      <c r="G97" s="18">
        <f t="shared" si="36"/>
        <v>1550</v>
      </c>
      <c r="H97" s="18">
        <f t="shared" si="36"/>
        <v>6648.264000000001</v>
      </c>
      <c r="I97" s="18">
        <f>SUM(I93:I96)</f>
        <v>2970</v>
      </c>
      <c r="J97" s="18">
        <f t="shared" si="36"/>
        <v>15324.03</v>
      </c>
      <c r="K97" s="18">
        <f t="shared" si="36"/>
        <v>80694.134</v>
      </c>
      <c r="L97" s="18">
        <f t="shared" si="36"/>
        <v>9832.583333333332</v>
      </c>
      <c r="M97" s="18">
        <f t="shared" si="36"/>
        <v>1909.6</v>
      </c>
      <c r="N97" s="16"/>
      <c r="O97" s="18">
        <f aca="true" t="shared" si="37" ref="O97:X97">SUM(O93:O96)</f>
        <v>246232</v>
      </c>
      <c r="P97" s="18">
        <f t="shared" si="37"/>
        <v>0</v>
      </c>
      <c r="Q97" s="18">
        <f t="shared" si="37"/>
        <v>0</v>
      </c>
      <c r="R97" s="18">
        <f t="shared" si="37"/>
        <v>0</v>
      </c>
      <c r="S97" s="18">
        <f t="shared" si="37"/>
        <v>0</v>
      </c>
      <c r="T97" s="18">
        <f t="shared" si="37"/>
        <v>0</v>
      </c>
      <c r="U97" s="18">
        <f t="shared" si="37"/>
        <v>0</v>
      </c>
      <c r="V97" s="18">
        <f t="shared" si="37"/>
        <v>0</v>
      </c>
      <c r="W97" s="18"/>
      <c r="X97" s="18">
        <f t="shared" si="37"/>
        <v>0</v>
      </c>
      <c r="Y97" s="108">
        <f t="shared" si="35"/>
        <v>0</v>
      </c>
    </row>
    <row r="98" spans="1:25" s="2" customFormat="1" ht="15" customHeight="1">
      <c r="A98" s="19"/>
      <c r="B98" s="19"/>
      <c r="C98" s="16"/>
      <c r="D98" s="16"/>
      <c r="E98" s="16"/>
      <c r="F98" s="16"/>
      <c r="G98" s="16"/>
      <c r="H98" s="16"/>
      <c r="I98" s="16"/>
      <c r="J98" s="16"/>
      <c r="K98" s="16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08">
        <f t="shared" si="35"/>
        <v>0</v>
      </c>
    </row>
    <row r="99" spans="1:25" ht="15" customHeight="1">
      <c r="A99" s="24" t="s">
        <v>135</v>
      </c>
      <c r="B99" s="24"/>
      <c r="C99" s="25"/>
      <c r="D99" s="11" t="s">
        <v>562</v>
      </c>
      <c r="E99" s="25" t="s">
        <v>584</v>
      </c>
      <c r="F99" s="25"/>
      <c r="G99" s="25"/>
      <c r="H99" s="25"/>
      <c r="I99" s="25"/>
      <c r="J99" s="25"/>
      <c r="K99" s="274"/>
      <c r="M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108"/>
    </row>
    <row r="100" spans="1:25" s="2" customFormat="1" ht="15" customHeight="1">
      <c r="A100" s="117" t="s">
        <v>136</v>
      </c>
      <c r="B100" s="13" t="s">
        <v>266</v>
      </c>
      <c r="C100" s="21">
        <v>75000</v>
      </c>
      <c r="D100" s="15">
        <v>84480</v>
      </c>
      <c r="E100" s="21">
        <v>5000</v>
      </c>
      <c r="F100" s="21">
        <f>+(D100+E100)*$F$2</f>
        <v>21922.6</v>
      </c>
      <c r="G100" s="21"/>
      <c r="H100" s="21">
        <f>+(E100+D100)*2.7%</f>
        <v>2415.9600000000005</v>
      </c>
      <c r="I100" s="21">
        <v>990</v>
      </c>
      <c r="J100" s="50">
        <f>(413.27*3)+(429.8*9)</f>
        <v>5108.01</v>
      </c>
      <c r="K100" s="106">
        <f>SUM(F100:J100)</f>
        <v>30436.57</v>
      </c>
      <c r="L100" s="37">
        <f>D100/24</f>
        <v>3520</v>
      </c>
      <c r="M100" s="21">
        <f>7700*$M$2</f>
        <v>477.4</v>
      </c>
      <c r="O100" s="3">
        <f>+D100+E100</f>
        <v>89480</v>
      </c>
      <c r="P100" s="47"/>
      <c r="Q100" s="47"/>
      <c r="R100" s="47"/>
      <c r="S100" s="47"/>
      <c r="T100" s="47"/>
      <c r="U100" s="47"/>
      <c r="V100" s="47"/>
      <c r="W100" s="47"/>
      <c r="X100" s="47"/>
      <c r="Y100" s="108">
        <f>D100+E100-O100-P100-Q100-R100-S100-T100-U100-V100-X100-W100</f>
        <v>0</v>
      </c>
    </row>
    <row r="101" spans="1:25" ht="15" customHeight="1">
      <c r="A101" s="17"/>
      <c r="B101" s="17" t="s">
        <v>138</v>
      </c>
      <c r="C101" s="18">
        <f>SUM(C100)</f>
        <v>75000</v>
      </c>
      <c r="D101" s="18">
        <f aca="true" t="shared" si="38" ref="D101:X101">SUM(D100)</f>
        <v>84480</v>
      </c>
      <c r="E101" s="18">
        <f t="shared" si="38"/>
        <v>5000</v>
      </c>
      <c r="F101" s="18">
        <f t="shared" si="38"/>
        <v>21922.6</v>
      </c>
      <c r="G101" s="18">
        <f t="shared" si="38"/>
        <v>0</v>
      </c>
      <c r="H101" s="18">
        <f t="shared" si="38"/>
        <v>2415.9600000000005</v>
      </c>
      <c r="I101" s="18">
        <f>SUM(I100)</f>
        <v>990</v>
      </c>
      <c r="J101" s="18">
        <f t="shared" si="38"/>
        <v>5108.01</v>
      </c>
      <c r="K101" s="18">
        <f t="shared" si="38"/>
        <v>30436.57</v>
      </c>
      <c r="L101" s="18">
        <f t="shared" si="38"/>
        <v>3520</v>
      </c>
      <c r="M101" s="18">
        <f t="shared" si="38"/>
        <v>477.4</v>
      </c>
      <c r="N101" s="16"/>
      <c r="O101" s="18">
        <f t="shared" si="38"/>
        <v>89480</v>
      </c>
      <c r="P101" s="18">
        <f t="shared" si="38"/>
        <v>0</v>
      </c>
      <c r="Q101" s="18">
        <f t="shared" si="38"/>
        <v>0</v>
      </c>
      <c r="R101" s="18">
        <f t="shared" si="38"/>
        <v>0</v>
      </c>
      <c r="S101" s="18">
        <f t="shared" si="38"/>
        <v>0</v>
      </c>
      <c r="T101" s="18">
        <f t="shared" si="38"/>
        <v>0</v>
      </c>
      <c r="U101" s="18">
        <f t="shared" si="38"/>
        <v>0</v>
      </c>
      <c r="V101" s="18">
        <f t="shared" si="38"/>
        <v>0</v>
      </c>
      <c r="W101" s="18"/>
      <c r="X101" s="18">
        <f t="shared" si="38"/>
        <v>0</v>
      </c>
      <c r="Y101" s="108">
        <f>D101+E101-O101-P101-Q101-R101-S101-T101-U101-V101-X101-W101</f>
        <v>0</v>
      </c>
    </row>
    <row r="102" spans="1:25" ht="15" customHeight="1" hidden="1">
      <c r="A102" s="24" t="s">
        <v>559</v>
      </c>
      <c r="B102" s="24"/>
      <c r="C102" s="25"/>
      <c r="D102" s="11" t="s">
        <v>562</v>
      </c>
      <c r="E102" s="25"/>
      <c r="F102" s="25"/>
      <c r="G102" s="25"/>
      <c r="H102" s="25"/>
      <c r="I102" s="25"/>
      <c r="J102" s="25"/>
      <c r="K102" s="274"/>
      <c r="M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108"/>
    </row>
    <row r="103" spans="1:25" s="2" customFormat="1" ht="15" customHeight="1" hidden="1">
      <c r="A103" s="117"/>
      <c r="B103" s="48" t="s">
        <v>126</v>
      </c>
      <c r="C103" s="104"/>
      <c r="D103" s="104"/>
      <c r="E103" s="21"/>
      <c r="F103" s="21">
        <f>+(D103+E103)*$F$2</f>
        <v>0</v>
      </c>
      <c r="G103" s="21"/>
      <c r="H103" s="21">
        <f>+(E103+D103)*2.7%</f>
        <v>0</v>
      </c>
      <c r="I103" s="21"/>
      <c r="J103" s="21">
        <v>0</v>
      </c>
      <c r="K103" s="106">
        <f>SUM(F103:J103)</f>
        <v>0</v>
      </c>
      <c r="L103" s="37">
        <f>D103/24</f>
        <v>0</v>
      </c>
      <c r="M103" s="152"/>
      <c r="O103" s="47">
        <f>D103+E103</f>
        <v>0</v>
      </c>
      <c r="P103" s="47"/>
      <c r="Q103" s="47"/>
      <c r="R103" s="47"/>
      <c r="S103" s="47"/>
      <c r="T103" s="47"/>
      <c r="U103" s="47"/>
      <c r="V103" s="47"/>
      <c r="W103" s="47"/>
      <c r="X103" s="47"/>
      <c r="Y103" s="108">
        <f>D103+E103-O103-P103-Q103-R103-S103-T103-U103-V103-X103-W103</f>
        <v>0</v>
      </c>
    </row>
    <row r="104" spans="1:25" s="2" customFormat="1" ht="15" customHeight="1" hidden="1">
      <c r="A104" s="17"/>
      <c r="B104" s="17"/>
      <c r="C104" s="18">
        <f aca="true" t="shared" si="39" ref="C104:J104">SUM(C103)</f>
        <v>0</v>
      </c>
      <c r="D104" s="18">
        <f t="shared" si="39"/>
        <v>0</v>
      </c>
      <c r="E104" s="18">
        <f t="shared" si="39"/>
        <v>0</v>
      </c>
      <c r="F104" s="18">
        <f t="shared" si="39"/>
        <v>0</v>
      </c>
      <c r="G104" s="18">
        <f t="shared" si="39"/>
        <v>0</v>
      </c>
      <c r="H104" s="18">
        <f t="shared" si="39"/>
        <v>0</v>
      </c>
      <c r="I104" s="18"/>
      <c r="J104" s="18">
        <f t="shared" si="39"/>
        <v>0</v>
      </c>
      <c r="K104" s="18">
        <f>SUM(K103)</f>
        <v>0</v>
      </c>
      <c r="L104" s="18">
        <f>SUM(L103)</f>
        <v>0</v>
      </c>
      <c r="M104" s="18">
        <f>SUM(M103)</f>
        <v>0</v>
      </c>
      <c r="N104" s="16"/>
      <c r="O104" s="18">
        <f aca="true" t="shared" si="40" ref="O104:V104">SUM(O103)</f>
        <v>0</v>
      </c>
      <c r="P104" s="18">
        <f t="shared" si="40"/>
        <v>0</v>
      </c>
      <c r="Q104" s="18">
        <f t="shared" si="40"/>
        <v>0</v>
      </c>
      <c r="R104" s="18">
        <f t="shared" si="40"/>
        <v>0</v>
      </c>
      <c r="S104" s="18">
        <f t="shared" si="40"/>
        <v>0</v>
      </c>
      <c r="T104" s="18">
        <f t="shared" si="40"/>
        <v>0</v>
      </c>
      <c r="U104" s="18">
        <f t="shared" si="40"/>
        <v>0</v>
      </c>
      <c r="V104" s="18">
        <f t="shared" si="40"/>
        <v>0</v>
      </c>
      <c r="W104" s="18"/>
      <c r="X104" s="18">
        <f>SUM(X103)</f>
        <v>0</v>
      </c>
      <c r="Y104" s="108">
        <f>D104+E104-O104-P104-Q104-R104-S104-T104-U104-V104-X104-W104</f>
        <v>0</v>
      </c>
    </row>
    <row r="105" spans="1:25" ht="15" customHeight="1">
      <c r="A105" s="24" t="s">
        <v>53</v>
      </c>
      <c r="B105" s="24"/>
      <c r="C105" s="25"/>
      <c r="D105" s="11" t="s">
        <v>562</v>
      </c>
      <c r="E105" s="25"/>
      <c r="F105" s="25"/>
      <c r="G105" s="25"/>
      <c r="H105" s="25"/>
      <c r="I105" s="25"/>
      <c r="J105" s="25"/>
      <c r="K105" s="274"/>
      <c r="M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108"/>
    </row>
    <row r="106" spans="1:25" s="2" customFormat="1" ht="15" customHeight="1">
      <c r="A106" s="117" t="s">
        <v>665</v>
      </c>
      <c r="B106" s="48" t="s">
        <v>650</v>
      </c>
      <c r="C106" s="104"/>
      <c r="D106" s="104">
        <v>26000</v>
      </c>
      <c r="E106" s="21">
        <v>750</v>
      </c>
      <c r="F106" s="21"/>
      <c r="G106" s="21">
        <f>+(E106+D106)*$G$2</f>
        <v>1658.5</v>
      </c>
      <c r="H106" s="21">
        <f>+(E106+D106)*2.7%</f>
        <v>722.2500000000001</v>
      </c>
      <c r="I106" s="21"/>
      <c r="J106" s="283"/>
      <c r="K106" s="106">
        <f>SUM(F106:J106)</f>
        <v>2380.75</v>
      </c>
      <c r="L106" s="37">
        <f>D106/24</f>
        <v>1083.3333333333333</v>
      </c>
      <c r="M106" s="21">
        <f>7700*$M$2</f>
        <v>477.4</v>
      </c>
      <c r="O106" s="47">
        <f>D106+E106</f>
        <v>26750</v>
      </c>
      <c r="P106" s="47"/>
      <c r="Q106" s="47"/>
      <c r="R106" s="47"/>
      <c r="S106" s="47"/>
      <c r="T106" s="47"/>
      <c r="U106" s="47"/>
      <c r="V106" s="47"/>
      <c r="W106" s="47"/>
      <c r="X106" s="47"/>
      <c r="Y106" s="108">
        <f>D106+E106-O106-P106-Q106-R106-S106-T106-U106-V106-X106-W106</f>
        <v>0</v>
      </c>
    </row>
    <row r="107" spans="1:25" s="2" customFormat="1" ht="15" customHeight="1">
      <c r="A107" s="17"/>
      <c r="B107" s="17" t="s">
        <v>139</v>
      </c>
      <c r="C107" s="18">
        <f aca="true" t="shared" si="41" ref="C107:H107">SUM(C106)</f>
        <v>0</v>
      </c>
      <c r="D107" s="18">
        <f t="shared" si="41"/>
        <v>26000</v>
      </c>
      <c r="E107" s="18">
        <f t="shared" si="41"/>
        <v>750</v>
      </c>
      <c r="F107" s="18">
        <f t="shared" si="41"/>
        <v>0</v>
      </c>
      <c r="G107" s="18">
        <f t="shared" si="41"/>
        <v>1658.5</v>
      </c>
      <c r="H107" s="18">
        <f t="shared" si="41"/>
        <v>722.2500000000001</v>
      </c>
      <c r="I107" s="18"/>
      <c r="J107" s="18">
        <f>SUM(J106)</f>
        <v>0</v>
      </c>
      <c r="K107" s="18">
        <f>SUM(K106)</f>
        <v>2380.75</v>
      </c>
      <c r="L107" s="18">
        <f>SUM(L106)</f>
        <v>1083.3333333333333</v>
      </c>
      <c r="M107" s="18">
        <f>SUM(M106)</f>
        <v>477.4</v>
      </c>
      <c r="N107" s="16"/>
      <c r="O107" s="18">
        <f aca="true" t="shared" si="42" ref="O107:V107">SUM(O106)</f>
        <v>26750</v>
      </c>
      <c r="P107" s="18">
        <f t="shared" si="42"/>
        <v>0</v>
      </c>
      <c r="Q107" s="18">
        <f t="shared" si="42"/>
        <v>0</v>
      </c>
      <c r="R107" s="18">
        <f t="shared" si="42"/>
        <v>0</v>
      </c>
      <c r="S107" s="18">
        <f t="shared" si="42"/>
        <v>0</v>
      </c>
      <c r="T107" s="18">
        <f t="shared" si="42"/>
        <v>0</v>
      </c>
      <c r="U107" s="18">
        <f t="shared" si="42"/>
        <v>0</v>
      </c>
      <c r="V107" s="18">
        <f t="shared" si="42"/>
        <v>0</v>
      </c>
      <c r="W107" s="18"/>
      <c r="X107" s="18">
        <f>SUM(X106)</f>
        <v>0</v>
      </c>
      <c r="Y107" s="108">
        <f>D107+E107-O107-P107-Q107-R107-S107-T107-U107-V107-X107-W107</f>
        <v>0</v>
      </c>
    </row>
    <row r="108" spans="1:25" ht="15" customHeight="1">
      <c r="A108" s="24" t="s">
        <v>560</v>
      </c>
      <c r="B108" s="24"/>
      <c r="C108" s="25"/>
      <c r="D108" s="11" t="s">
        <v>562</v>
      </c>
      <c r="E108" s="25"/>
      <c r="F108" s="25"/>
      <c r="G108" s="25"/>
      <c r="H108" s="25"/>
      <c r="I108" s="25"/>
      <c r="J108" s="25"/>
      <c r="K108" s="274"/>
      <c r="M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108"/>
    </row>
    <row r="109" spans="1:25" s="2" customFormat="1" ht="15" customHeight="1">
      <c r="A109" s="117" t="s">
        <v>647</v>
      </c>
      <c r="B109" s="48" t="s">
        <v>111</v>
      </c>
      <c r="C109" s="104">
        <f>30*16*37</f>
        <v>17760</v>
      </c>
      <c r="D109" s="104">
        <v>56980</v>
      </c>
      <c r="E109" s="21"/>
      <c r="F109" s="21">
        <f>+(D109+E109)*$F$2</f>
        <v>13960.1</v>
      </c>
      <c r="G109" s="21"/>
      <c r="H109" s="21">
        <f>+(E109+D109)*2.7%</f>
        <v>1538.4600000000003</v>
      </c>
      <c r="I109" s="21">
        <v>990</v>
      </c>
      <c r="J109" s="50">
        <f>(413.27*3)+(429.8*9)</f>
        <v>5108.01</v>
      </c>
      <c r="K109" s="106">
        <f>SUM(F109:J109)</f>
        <v>21596.57</v>
      </c>
      <c r="L109" s="37">
        <f>D109/24</f>
        <v>2374.1666666666665</v>
      </c>
      <c r="M109" s="21">
        <f>7700*$M$2</f>
        <v>477.4</v>
      </c>
      <c r="O109" s="47">
        <f>D109+E109-15680</f>
        <v>41300</v>
      </c>
      <c r="P109" s="47"/>
      <c r="Q109" s="47"/>
      <c r="R109" s="47"/>
      <c r="S109" s="47">
        <v>15680</v>
      </c>
      <c r="T109" s="47"/>
      <c r="U109" s="47"/>
      <c r="V109" s="47"/>
      <c r="W109" s="47"/>
      <c r="X109" s="47"/>
      <c r="Y109" s="108">
        <f>D109+E109-O109-P109-Q109-R109-S109-T109-U109-V109-X109-W109</f>
        <v>0</v>
      </c>
    </row>
    <row r="110" spans="1:25" s="2" customFormat="1" ht="15" customHeight="1">
      <c r="A110" s="17"/>
      <c r="B110" s="17" t="s">
        <v>139</v>
      </c>
      <c r="C110" s="18">
        <f>SUM(C109)</f>
        <v>17760</v>
      </c>
      <c r="D110" s="18">
        <f aca="true" t="shared" si="43" ref="D110:X110">SUM(D109)</f>
        <v>56980</v>
      </c>
      <c r="E110" s="18">
        <f t="shared" si="43"/>
        <v>0</v>
      </c>
      <c r="F110" s="18">
        <f t="shared" si="43"/>
        <v>13960.1</v>
      </c>
      <c r="G110" s="18">
        <f t="shared" si="43"/>
        <v>0</v>
      </c>
      <c r="H110" s="18">
        <f t="shared" si="43"/>
        <v>1538.4600000000003</v>
      </c>
      <c r="I110" s="18">
        <f>SUM(I109)</f>
        <v>990</v>
      </c>
      <c r="J110" s="18">
        <f t="shared" si="43"/>
        <v>5108.01</v>
      </c>
      <c r="K110" s="18">
        <f t="shared" si="43"/>
        <v>21596.57</v>
      </c>
      <c r="L110" s="18">
        <f t="shared" si="43"/>
        <v>2374.1666666666665</v>
      </c>
      <c r="M110" s="18">
        <f t="shared" si="43"/>
        <v>477.4</v>
      </c>
      <c r="N110" s="16"/>
      <c r="O110" s="18">
        <f t="shared" si="43"/>
        <v>41300</v>
      </c>
      <c r="P110" s="18">
        <f t="shared" si="43"/>
        <v>0</v>
      </c>
      <c r="Q110" s="18">
        <f t="shared" si="43"/>
        <v>0</v>
      </c>
      <c r="R110" s="18">
        <f t="shared" si="43"/>
        <v>0</v>
      </c>
      <c r="S110" s="18">
        <f t="shared" si="43"/>
        <v>15680</v>
      </c>
      <c r="T110" s="18">
        <f t="shared" si="43"/>
        <v>0</v>
      </c>
      <c r="U110" s="18">
        <f t="shared" si="43"/>
        <v>0</v>
      </c>
      <c r="V110" s="18">
        <f t="shared" si="43"/>
        <v>0</v>
      </c>
      <c r="W110" s="18"/>
      <c r="X110" s="18">
        <f t="shared" si="43"/>
        <v>0</v>
      </c>
      <c r="Y110" s="108">
        <f>D110+E110-O110-P110-Q110-R110-S110-T110-U110-V110-X110-W110</f>
        <v>0</v>
      </c>
    </row>
    <row r="111" spans="1:25" s="2" customFormat="1" ht="15" customHeight="1">
      <c r="A111" s="19"/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Y111" s="108">
        <f>D111+E111-O111-P111-Q111-R111-S111-T111-U111-V111-X111-W111</f>
        <v>0</v>
      </c>
    </row>
    <row r="112" spans="1:25" ht="15" customHeight="1">
      <c r="A112" s="24" t="s">
        <v>131</v>
      </c>
      <c r="B112" s="24"/>
      <c r="C112" s="25"/>
      <c r="D112" s="11" t="s">
        <v>562</v>
      </c>
      <c r="E112" s="25" t="s">
        <v>584</v>
      </c>
      <c r="F112" s="25"/>
      <c r="G112" s="25"/>
      <c r="H112" s="25"/>
      <c r="I112" s="25"/>
      <c r="J112" s="25"/>
      <c r="K112" s="274"/>
      <c r="M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108"/>
    </row>
    <row r="113" spans="1:25" s="2" customFormat="1" ht="15" customHeight="1">
      <c r="A113" s="117" t="s">
        <v>134</v>
      </c>
      <c r="B113" s="48" t="s">
        <v>654</v>
      </c>
      <c r="C113" s="16">
        <v>52550</v>
      </c>
      <c r="D113" s="15">
        <v>75000</v>
      </c>
      <c r="E113" s="16">
        <v>5000</v>
      </c>
      <c r="F113" s="21">
        <f>+(D113+E113)*$F$2</f>
        <v>19600</v>
      </c>
      <c r="G113" s="21"/>
      <c r="H113" s="21">
        <f>+(E113+D113)*2.7%</f>
        <v>2160.0000000000005</v>
      </c>
      <c r="I113" s="21">
        <v>990</v>
      </c>
      <c r="J113" s="50">
        <f>(413.27*3)+(429.8*9)</f>
        <v>5108.01</v>
      </c>
      <c r="K113" s="106">
        <f>SUM(F113:J113)</f>
        <v>27858.010000000002</v>
      </c>
      <c r="L113" s="37">
        <f>D113/24</f>
        <v>3125</v>
      </c>
      <c r="M113" s="21">
        <f>7700*$M$2</f>
        <v>477.4</v>
      </c>
      <c r="O113" s="108">
        <f>D113</f>
        <v>75000</v>
      </c>
      <c r="P113" s="208"/>
      <c r="W113" s="108">
        <f>E113</f>
        <v>5000</v>
      </c>
      <c r="Y113" s="108">
        <f>D113+E113-O113-P113-Q113-R113-S113-T113-U113-V113-X113-W113</f>
        <v>0</v>
      </c>
    </row>
    <row r="114" spans="1:25" s="2" customFormat="1" ht="15" customHeight="1">
      <c r="A114" s="117" t="s">
        <v>134</v>
      </c>
      <c r="B114" s="48" t="s">
        <v>644</v>
      </c>
      <c r="C114" s="16"/>
      <c r="D114" s="15">
        <v>50000</v>
      </c>
      <c r="E114" s="16">
        <v>2500</v>
      </c>
      <c r="F114" s="21">
        <f>+(D114+E114)*$F$2</f>
        <v>12862.5</v>
      </c>
      <c r="G114" s="21"/>
      <c r="H114" s="21">
        <f>+(E114+D114)*2.7%</f>
        <v>1417.5000000000002</v>
      </c>
      <c r="I114" s="21">
        <v>990</v>
      </c>
      <c r="J114" s="50">
        <f>(413.27*3)+(429.8*9)</f>
        <v>5108.01</v>
      </c>
      <c r="K114" s="106">
        <f>SUM(F114:J114)</f>
        <v>20378.010000000002</v>
      </c>
      <c r="L114" s="37"/>
      <c r="M114" s="21">
        <f>7700*$M$2</f>
        <v>477.4</v>
      </c>
      <c r="O114" s="108">
        <f>D114</f>
        <v>50000</v>
      </c>
      <c r="P114" s="208"/>
      <c r="W114" s="108">
        <f>E114</f>
        <v>2500</v>
      </c>
      <c r="Y114" s="108"/>
    </row>
    <row r="115" spans="1:25" s="2" customFormat="1" ht="15" customHeight="1">
      <c r="A115" s="17"/>
      <c r="B115" s="17" t="s">
        <v>137</v>
      </c>
      <c r="C115" s="18">
        <f>SUM(C113)</f>
        <v>52550</v>
      </c>
      <c r="D115" s="18">
        <f>SUM(D113:D114)</f>
        <v>125000</v>
      </c>
      <c r="E115" s="18">
        <f>SUM(E113:E114)</f>
        <v>7500</v>
      </c>
      <c r="F115" s="18">
        <f aca="true" t="shared" si="44" ref="F115:M115">SUM(F113:F114)</f>
        <v>32462.5</v>
      </c>
      <c r="G115" s="18">
        <f t="shared" si="44"/>
        <v>0</v>
      </c>
      <c r="H115" s="18">
        <f t="shared" si="44"/>
        <v>3577.500000000001</v>
      </c>
      <c r="I115" s="18">
        <f>SUM(I113:I114)</f>
        <v>1980</v>
      </c>
      <c r="J115" s="18">
        <f t="shared" si="44"/>
        <v>10216.02</v>
      </c>
      <c r="K115" s="18">
        <f t="shared" si="44"/>
        <v>48236.020000000004</v>
      </c>
      <c r="L115" s="18">
        <f t="shared" si="44"/>
        <v>3125</v>
      </c>
      <c r="M115" s="18">
        <f t="shared" si="44"/>
        <v>954.8</v>
      </c>
      <c r="N115" s="16"/>
      <c r="O115" s="18">
        <f>SUM(O113:O114)</f>
        <v>125000</v>
      </c>
      <c r="P115" s="18">
        <f aca="true" t="shared" si="45" ref="P115:X115">SUM(P113)</f>
        <v>0</v>
      </c>
      <c r="Q115" s="18">
        <f t="shared" si="45"/>
        <v>0</v>
      </c>
      <c r="R115" s="18">
        <f t="shared" si="45"/>
        <v>0</v>
      </c>
      <c r="S115" s="18">
        <f t="shared" si="45"/>
        <v>0</v>
      </c>
      <c r="T115" s="18">
        <f t="shared" si="45"/>
        <v>0</v>
      </c>
      <c r="U115" s="18">
        <f t="shared" si="45"/>
        <v>0</v>
      </c>
      <c r="V115" s="18">
        <f t="shared" si="45"/>
        <v>0</v>
      </c>
      <c r="W115" s="18">
        <f>SUM(W113:W114)</f>
        <v>7500</v>
      </c>
      <c r="X115" s="18">
        <f t="shared" si="45"/>
        <v>0</v>
      </c>
      <c r="Y115" s="108">
        <f>D115+E115-O115-P115-Q115-R115-S115-T115-U115-V115-X115-W115</f>
        <v>0</v>
      </c>
    </row>
    <row r="116" spans="1:11" ht="15" customHeight="1">
      <c r="A116" s="13"/>
      <c r="B116" s="13"/>
      <c r="C116" s="29"/>
      <c r="D116" s="30"/>
      <c r="E116" s="29"/>
      <c r="F116" s="29"/>
      <c r="G116" s="29"/>
      <c r="H116" s="29"/>
      <c r="I116" s="29"/>
      <c r="J116" s="29"/>
      <c r="K116" s="273"/>
    </row>
    <row r="117" spans="1:25" ht="15" customHeight="1">
      <c r="A117" s="31"/>
      <c r="B117" s="31" t="s">
        <v>574</v>
      </c>
      <c r="C117" s="32">
        <f>+C115+C110+C104+C101+C97+C90+C84+C79+C65+C60+C47+C29+C6</f>
        <v>1594858</v>
      </c>
      <c r="D117" s="32">
        <f aca="true" t="shared" si="46" ref="D117:M117">+D115+D110+D104+D101+D97+D90+D84+D79+D65+D60+D47+D29+D6+D107</f>
        <v>2057734</v>
      </c>
      <c r="E117" s="32">
        <f t="shared" si="46"/>
        <v>96750</v>
      </c>
      <c r="F117" s="32">
        <f t="shared" si="46"/>
        <v>484438.30499999993</v>
      </c>
      <c r="G117" s="32">
        <f t="shared" si="46"/>
        <v>10955.09</v>
      </c>
      <c r="H117" s="32">
        <f t="shared" si="46"/>
        <v>58171.06800000001</v>
      </c>
      <c r="I117" s="32">
        <f t="shared" si="46"/>
        <v>32670</v>
      </c>
      <c r="J117" s="32">
        <f t="shared" si="46"/>
        <v>171341.49</v>
      </c>
      <c r="K117" s="32">
        <f t="shared" si="46"/>
        <v>757575.953</v>
      </c>
      <c r="L117" s="32">
        <f t="shared" si="46"/>
        <v>35697.125</v>
      </c>
      <c r="M117" s="32">
        <f t="shared" si="46"/>
        <v>20528.199999999997</v>
      </c>
      <c r="N117" s="16"/>
      <c r="O117" s="32">
        <f>+O115+O110+O107+O101+O97+O90+O84+O79+O47+O29+O6</f>
        <v>1450511</v>
      </c>
      <c r="P117" s="32">
        <f>+P115+P110+P107+P101+P97+P90+P84+P79+P47+P29+P6</f>
        <v>223974</v>
      </c>
      <c r="Q117" s="32">
        <f>+Q115+Q110+Q104+Q101+Q97+Q90+Q84+Q79+Q65+Q60+Q47+Q29+Q6</f>
        <v>0</v>
      </c>
      <c r="R117" s="32">
        <f>+R115+R110+R107+R101+R97+R90+R84+R79+R47+R29+R6</f>
        <v>0</v>
      </c>
      <c r="S117" s="32">
        <f>+S115+S110+S104+S101+S97+S90+S84+S79+S65+S60+S47+S29+S6</f>
        <v>15680</v>
      </c>
      <c r="T117" s="32">
        <f>+T115+T110+T104+T101+T97+T90+T84+T79+T65+T60+T47+T29+T6</f>
        <v>0</v>
      </c>
      <c r="U117" s="32">
        <f>+U115+U110+U107+U101+U97+U90+U84+U79+U47+U29+U6</f>
        <v>48609</v>
      </c>
      <c r="V117" s="32">
        <f>+V115+V110+V107+V101+V97+V90+V84+V79+V47+V29+V6</f>
        <v>334960</v>
      </c>
      <c r="W117" s="32">
        <f>+W115+W110+W107+W101+W97+W90+W84+W79+W47+W29+W6</f>
        <v>80750</v>
      </c>
      <c r="X117" s="32">
        <f>+X115+X110+X104+X101+X97+X90+X84+X79+X65+X60+X47+X29+X6</f>
        <v>0</v>
      </c>
      <c r="Y117" s="108">
        <f>D117+E117-O117-P117-Q117-R117-S117-T117-U117-V117-X117-W117</f>
        <v>0</v>
      </c>
    </row>
    <row r="118" spans="5:24" ht="15" customHeight="1">
      <c r="E118" s="107"/>
      <c r="F118" s="107"/>
      <c r="G118" s="107">
        <f>+G106+G96+G42+G43+G44</f>
        <v>6065.77</v>
      </c>
      <c r="H118" s="305"/>
      <c r="I118" s="107">
        <f>+I115+I110+I101+I97+I77+I29</f>
        <v>24997.5</v>
      </c>
      <c r="J118" s="107">
        <f>5455*10</f>
        <v>54550</v>
      </c>
      <c r="K118" s="107"/>
      <c r="L118" s="58"/>
      <c r="M118" s="107">
        <f>+M117+K117</f>
        <v>778104.1529999999</v>
      </c>
      <c r="O118" s="3">
        <f>+O47+O96+O106</f>
        <v>96585</v>
      </c>
      <c r="P118" s="3">
        <f>+P47+P96+P106</f>
        <v>76860</v>
      </c>
      <c r="U118" s="3">
        <f>+U47+U96</f>
        <v>0</v>
      </c>
      <c r="V118" s="3">
        <f>+V47</f>
        <v>0</v>
      </c>
      <c r="W118" s="3">
        <f>+W47+W96</f>
        <v>3250</v>
      </c>
      <c r="X118" s="153"/>
    </row>
    <row r="119" spans="3:23" s="2" customFormat="1" ht="15" customHeight="1">
      <c r="C119" s="108"/>
      <c r="D119" s="118"/>
      <c r="E119" s="107">
        <f>+E117*20.2%</f>
        <v>19543.5</v>
      </c>
      <c r="F119" s="107">
        <f>+F115+F110+F107+F104+F101+F97+F90+F84+F79+F6+F29</f>
        <v>484438.30499999993</v>
      </c>
      <c r="G119" s="107">
        <f>+G115+G110+G107+G104+G101+G97+G90+G84+G79+G6+G29</f>
        <v>3208.5</v>
      </c>
      <c r="H119" s="107">
        <f>+E117*2.7%</f>
        <v>2612.2500000000005</v>
      </c>
      <c r="I119" s="107">
        <f>+I117-I118</f>
        <v>7672.5</v>
      </c>
      <c r="J119" s="107">
        <f>+J117-J118</f>
        <v>116791.48999999999</v>
      </c>
      <c r="K119" s="107"/>
      <c r="L119" s="58"/>
      <c r="M119" s="107">
        <f>+M117-M120</f>
        <v>17663.799999999996</v>
      </c>
      <c r="O119" s="108">
        <f>+O117-O118-S117</f>
        <v>1338246</v>
      </c>
      <c r="P119" s="108">
        <f>+P117-P118</f>
        <v>147114</v>
      </c>
      <c r="S119" s="108"/>
      <c r="T119" s="108">
        <f>SUM(O117:W117)</f>
        <v>2154484</v>
      </c>
      <c r="U119" s="108">
        <f>+U117-U118</f>
        <v>48609</v>
      </c>
      <c r="V119" s="108">
        <f>+V117-V118</f>
        <v>334960</v>
      </c>
      <c r="W119" s="108">
        <f>+W117-W118</f>
        <v>77500</v>
      </c>
    </row>
    <row r="120" spans="3:23" s="2" customFormat="1" ht="15" customHeight="1">
      <c r="C120" s="108"/>
      <c r="D120" s="118"/>
      <c r="E120" s="107">
        <f>+E117*2.7%</f>
        <v>2612.2500000000005</v>
      </c>
      <c r="F120" s="107"/>
      <c r="G120" s="107"/>
      <c r="H120" s="107">
        <f>+H90+H84+H78</f>
        <v>9306.36</v>
      </c>
      <c r="I120" s="107"/>
      <c r="J120" s="107"/>
      <c r="K120" s="107">
        <f>+K90+K84+K78</f>
        <v>130341.02000000002</v>
      </c>
      <c r="L120" s="58"/>
      <c r="M120" s="107">
        <f>+M90+M84+M78</f>
        <v>2864.4</v>
      </c>
      <c r="O120" s="304">
        <f>+O119*24.5%</f>
        <v>327870.27</v>
      </c>
      <c r="P120" s="304">
        <f>+P119*24.5%</f>
        <v>36042.93</v>
      </c>
      <c r="U120" s="304">
        <f>+U119*24.5%</f>
        <v>11909.205</v>
      </c>
      <c r="V120" s="304">
        <f>+V119*24.5%</f>
        <v>82065.2</v>
      </c>
      <c r="W120" s="304">
        <f>+W119*24.5%</f>
        <v>18987.5</v>
      </c>
    </row>
    <row r="121" spans="3:15" s="2" customFormat="1" ht="15" customHeight="1">
      <c r="C121" s="108"/>
      <c r="D121" s="118"/>
      <c r="E121" s="107"/>
      <c r="F121" s="107"/>
      <c r="G121" s="107">
        <f>+G117-G120</f>
        <v>10955.09</v>
      </c>
      <c r="H121" s="107">
        <f>+H119-H120</f>
        <v>-6694.110000000001</v>
      </c>
      <c r="I121" s="107"/>
      <c r="J121" s="107"/>
      <c r="K121" s="107"/>
      <c r="L121" s="58"/>
      <c r="M121" s="107">
        <f>+M117+J117+H117+G117+F117</f>
        <v>745434.1529999999</v>
      </c>
      <c r="O121" s="38">
        <f>+O120+P120+V120+W120+U120</f>
        <v>476875.10500000004</v>
      </c>
    </row>
    <row r="122" spans="1:23" ht="15" customHeight="1">
      <c r="A122" s="301"/>
      <c r="B122" s="301"/>
      <c r="C122" s="301"/>
      <c r="D122" s="301" t="s">
        <v>40</v>
      </c>
      <c r="E122" s="163"/>
      <c r="F122" s="163"/>
      <c r="G122" s="163"/>
      <c r="H122" s="163"/>
      <c r="I122" s="163"/>
      <c r="J122" s="163"/>
      <c r="K122" s="107"/>
      <c r="L122" s="58"/>
      <c r="M122" s="58">
        <v>1697469</v>
      </c>
      <c r="O122" s="1">
        <f>+O118*6.2%</f>
        <v>5988.2699999999995</v>
      </c>
      <c r="P122" s="1">
        <f>+P118*6.2%</f>
        <v>4765.32</v>
      </c>
      <c r="W122" s="1">
        <f>+W118*6.2%</f>
        <v>201.5</v>
      </c>
    </row>
    <row r="123" spans="1:9" ht="15" customHeight="1">
      <c r="A123" s="301" t="s">
        <v>505</v>
      </c>
      <c r="B123" s="301" t="s">
        <v>41</v>
      </c>
      <c r="C123" s="301"/>
      <c r="D123" s="301">
        <v>1</v>
      </c>
      <c r="E123" s="301"/>
      <c r="F123" s="301"/>
      <c r="G123" s="301"/>
      <c r="H123" s="301"/>
      <c r="I123" s="301"/>
    </row>
    <row r="124" spans="1:9" ht="15" customHeight="1">
      <c r="A124" s="301" t="s">
        <v>11</v>
      </c>
      <c r="B124" s="301" t="s">
        <v>42</v>
      </c>
      <c r="C124" s="301"/>
      <c r="D124" s="301">
        <v>0.5</v>
      </c>
      <c r="E124" s="301" t="s">
        <v>43</v>
      </c>
      <c r="F124" s="301"/>
      <c r="G124" s="301"/>
      <c r="H124" s="301">
        <v>32500</v>
      </c>
      <c r="I124" s="301">
        <f>+G124*2</f>
        <v>0</v>
      </c>
    </row>
    <row r="125" spans="1:9" ht="15" customHeight="1">
      <c r="A125" s="301" t="s">
        <v>12</v>
      </c>
      <c r="B125" s="301" t="s">
        <v>44</v>
      </c>
      <c r="C125" s="301"/>
      <c r="D125" s="301">
        <v>1</v>
      </c>
      <c r="E125" s="301" t="s">
        <v>45</v>
      </c>
      <c r="F125" s="301"/>
      <c r="G125" s="301" t="s">
        <v>46</v>
      </c>
      <c r="H125" s="301">
        <v>13000</v>
      </c>
      <c r="I125" s="301"/>
    </row>
    <row r="126" spans="1:9" ht="15" customHeight="1">
      <c r="A126" s="301" t="s">
        <v>14</v>
      </c>
      <c r="B126" s="301" t="s">
        <v>15</v>
      </c>
      <c r="C126" s="301"/>
      <c r="D126" s="301">
        <v>1</v>
      </c>
      <c r="E126" s="301" t="s">
        <v>43</v>
      </c>
      <c r="F126" s="301"/>
      <c r="G126" s="301" t="s">
        <v>47</v>
      </c>
      <c r="H126" s="301">
        <v>60000</v>
      </c>
      <c r="I126" s="301" t="e">
        <f>+G126+G127</f>
        <v>#VALUE!</v>
      </c>
    </row>
    <row r="127" spans="1:9" ht="15" customHeight="1">
      <c r="A127" s="301" t="s">
        <v>13</v>
      </c>
      <c r="B127" s="301" t="s">
        <v>48</v>
      </c>
      <c r="C127" s="301"/>
      <c r="D127" s="301">
        <v>1</v>
      </c>
      <c r="E127" s="301" t="s">
        <v>49</v>
      </c>
      <c r="F127" s="301"/>
      <c r="G127" s="301" t="s">
        <v>47</v>
      </c>
      <c r="H127" s="301">
        <v>53000</v>
      </c>
      <c r="I127" s="301"/>
    </row>
    <row r="128" spans="1:9" ht="15" customHeight="1">
      <c r="A128" s="301" t="s">
        <v>585</v>
      </c>
      <c r="B128" s="301" t="s">
        <v>16</v>
      </c>
      <c r="C128" s="301"/>
      <c r="D128" s="301">
        <v>1</v>
      </c>
      <c r="E128" s="301" t="s">
        <v>43</v>
      </c>
      <c r="F128" s="301"/>
      <c r="G128" s="301"/>
      <c r="H128" s="301">
        <v>32500</v>
      </c>
      <c r="I128" s="301"/>
    </row>
    <row r="129" spans="1:9" ht="15" customHeight="1">
      <c r="A129" s="301"/>
      <c r="B129" s="301"/>
      <c r="C129" s="301"/>
      <c r="D129" s="301"/>
      <c r="E129" s="301" t="s">
        <v>45</v>
      </c>
      <c r="F129" s="301"/>
      <c r="G129" s="301" t="s">
        <v>50</v>
      </c>
      <c r="H129" s="301">
        <f>52000-13000</f>
        <v>39000</v>
      </c>
      <c r="I129" s="301"/>
    </row>
    <row r="130" spans="1:9" ht="15" customHeight="1">
      <c r="A130" s="301"/>
      <c r="B130" s="301"/>
      <c r="C130" s="301"/>
      <c r="D130" s="301"/>
      <c r="E130" s="301"/>
      <c r="F130" s="301"/>
      <c r="G130" s="301"/>
      <c r="H130" s="301"/>
      <c r="I130" s="301"/>
    </row>
    <row r="131" ht="15" customHeight="1">
      <c r="P131" s="1">
        <f>(+P117-P47)*24.5%</f>
        <v>36042.93</v>
      </c>
    </row>
    <row r="132" spans="5:8" ht="15" customHeight="1">
      <c r="E132" s="3">
        <f>+E117+D117</f>
        <v>2154484</v>
      </c>
      <c r="F132" s="321">
        <f>F117/D117</f>
        <v>0.23542319123851768</v>
      </c>
      <c r="H132" s="321">
        <f>H117/D117</f>
        <v>0.028269478951118077</v>
      </c>
    </row>
    <row r="133" ht="15" customHeight="1">
      <c r="M133" s="37"/>
    </row>
  </sheetData>
  <sheetProtection/>
  <printOptions horizontalCentered="1"/>
  <pageMargins left="0" right="0" top="0.52" bottom="0.43" header="0.28" footer="0.27"/>
  <pageSetup horizontalDpi="600" verticalDpi="600" orientation="landscape" paperSize="5" scale="80" r:id="rId3"/>
  <headerFooter alignWithMargins="0">
    <oddHeader>&amp;C&amp;"Arial,Bold"&amp;14McDonogh City Park Academy Staffing</oddHeader>
  </headerFooter>
  <ignoredErrors>
    <ignoredError sqref="D97 C35:C36 E86 E50 E69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AE120"/>
  <sheetViews>
    <sheetView zoomScalePageLayoutView="0" workbookViewId="0" topLeftCell="A1">
      <pane xSplit="4" ySplit="2" topLeftCell="R18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S33" sqref="S33"/>
    </sheetView>
  </sheetViews>
  <sheetFormatPr defaultColWidth="8.8515625" defaultRowHeight="12.75"/>
  <cols>
    <col min="1" max="1" width="4.140625" style="0" customWidth="1"/>
    <col min="2" max="2" width="17.140625" style="0" customWidth="1"/>
    <col min="3" max="3" width="14.28125" style="0" customWidth="1"/>
    <col min="4" max="4" width="7.8515625" style="0" customWidth="1"/>
    <col min="5" max="5" width="9.28125" style="0" customWidth="1"/>
    <col min="6" max="6" width="9.140625" style="0" customWidth="1"/>
    <col min="7" max="16" width="9.421875" style="0" customWidth="1"/>
    <col min="17" max="18" width="10.57421875" style="0" customWidth="1"/>
    <col min="19" max="19" width="12.140625" style="0" customWidth="1"/>
    <col min="21" max="21" width="10.28125" style="0" bestFit="1" customWidth="1"/>
    <col min="22" max="22" width="10.28125" style="0" customWidth="1"/>
    <col min="23" max="23" width="10.28125" style="163" bestFit="1" customWidth="1"/>
    <col min="24" max="25" width="10.28125" style="163" customWidth="1"/>
    <col min="28" max="28" width="9.28125" style="0" bestFit="1" customWidth="1"/>
    <col min="31" max="31" width="10.7109375" style="0" customWidth="1"/>
  </cols>
  <sheetData>
    <row r="1" ht="12.75"/>
    <row r="2" spans="2:31" s="5" customFormat="1" ht="38.25">
      <c r="B2" s="121" t="s">
        <v>141</v>
      </c>
      <c r="C2" s="121" t="s">
        <v>567</v>
      </c>
      <c r="E2" s="51" t="s">
        <v>490</v>
      </c>
      <c r="F2" s="51" t="s">
        <v>491</v>
      </c>
      <c r="G2" s="51" t="s">
        <v>492</v>
      </c>
      <c r="H2" s="51" t="s">
        <v>493</v>
      </c>
      <c r="I2" s="51" t="s">
        <v>494</v>
      </c>
      <c r="J2" s="51" t="s">
        <v>495</v>
      </c>
      <c r="K2" s="51" t="s">
        <v>496</v>
      </c>
      <c r="L2" s="51" t="s">
        <v>497</v>
      </c>
      <c r="M2" s="51" t="s">
        <v>498</v>
      </c>
      <c r="N2" s="51" t="s">
        <v>499</v>
      </c>
      <c r="O2" s="51" t="s">
        <v>500</v>
      </c>
      <c r="P2" s="51" t="s">
        <v>501</v>
      </c>
      <c r="Q2" s="137" t="s">
        <v>150</v>
      </c>
      <c r="S2" s="277" t="s">
        <v>19</v>
      </c>
      <c r="T2" s="277" t="s">
        <v>20</v>
      </c>
      <c r="U2" s="277" t="s">
        <v>21</v>
      </c>
      <c r="V2" s="330" t="s">
        <v>691</v>
      </c>
      <c r="W2" s="320" t="s">
        <v>22</v>
      </c>
      <c r="X2" s="337" t="s">
        <v>698</v>
      </c>
      <c r="Y2" s="337" t="s">
        <v>699</v>
      </c>
      <c r="Z2" s="5" t="s">
        <v>23</v>
      </c>
      <c r="AA2" s="5" t="s">
        <v>24</v>
      </c>
      <c r="AB2" s="120" t="s">
        <v>623</v>
      </c>
      <c r="AC2" s="120" t="s">
        <v>627</v>
      </c>
      <c r="AD2" s="120" t="s">
        <v>628</v>
      </c>
      <c r="AE2" s="5" t="s">
        <v>348</v>
      </c>
    </row>
    <row r="3" ht="12.75"/>
    <row r="4" spans="1:31" ht="12.75">
      <c r="A4">
        <v>300</v>
      </c>
      <c r="B4" s="4" t="s">
        <v>142</v>
      </c>
      <c r="C4" s="4" t="s">
        <v>143</v>
      </c>
      <c r="E4" s="200"/>
      <c r="F4" s="201">
        <v>8000</v>
      </c>
      <c r="G4" s="201">
        <v>9000</v>
      </c>
      <c r="H4" s="201">
        <v>4000</v>
      </c>
      <c r="I4" s="201">
        <v>4000</v>
      </c>
      <c r="J4" s="201">
        <v>4000</v>
      </c>
      <c r="K4" s="201">
        <v>4000</v>
      </c>
      <c r="L4" s="201">
        <v>4000</v>
      </c>
      <c r="M4" s="201">
        <v>4000</v>
      </c>
      <c r="N4" s="201">
        <v>4000</v>
      </c>
      <c r="O4" s="201">
        <v>4000</v>
      </c>
      <c r="P4" s="202"/>
      <c r="Q4" s="237">
        <f>SUM(E4:P4)</f>
        <v>49000</v>
      </c>
      <c r="S4" s="278">
        <f>+Q4-W4</f>
        <v>37785</v>
      </c>
      <c r="W4" s="135">
        <v>11215</v>
      </c>
      <c r="X4" s="135"/>
      <c r="Y4" s="135"/>
      <c r="AE4" s="89">
        <f>Q4-S4-T4-U4-W4-Z4-AA4-AB4-AC4-AD4</f>
        <v>0</v>
      </c>
    </row>
    <row r="5" spans="2:17" ht="9.75" customHeight="1">
      <c r="B5" s="160"/>
      <c r="C5" s="161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31" ht="12.75">
      <c r="A6">
        <v>300</v>
      </c>
      <c r="B6" s="4" t="s">
        <v>709</v>
      </c>
      <c r="C6" s="4" t="s">
        <v>121</v>
      </c>
      <c r="E6" s="201">
        <v>108</v>
      </c>
      <c r="F6" s="201">
        <v>108</v>
      </c>
      <c r="G6" s="201">
        <v>108</v>
      </c>
      <c r="H6" s="201">
        <v>108</v>
      </c>
      <c r="I6" s="201">
        <v>108</v>
      </c>
      <c r="J6" s="201">
        <v>108</v>
      </c>
      <c r="K6" s="201">
        <v>108</v>
      </c>
      <c r="L6" s="201">
        <v>108</v>
      </c>
      <c r="M6" s="201">
        <v>108</v>
      </c>
      <c r="N6" s="201">
        <v>108</v>
      </c>
      <c r="O6" s="201">
        <v>108</v>
      </c>
      <c r="P6" s="201">
        <v>108</v>
      </c>
      <c r="Q6" s="237">
        <f>SUM(E6:P6)</f>
        <v>1296</v>
      </c>
      <c r="S6" s="89">
        <f>Q6</f>
        <v>1296</v>
      </c>
      <c r="AE6" s="89">
        <f>Q6-S6-T6-U6-W6-Z6-AA6-AB6-AC6-AD6</f>
        <v>0</v>
      </c>
    </row>
    <row r="7" spans="3:31" ht="12.75">
      <c r="C7" s="4" t="s">
        <v>122</v>
      </c>
      <c r="E7" s="203">
        <v>2600</v>
      </c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37">
        <f>SUM(E7:P7)</f>
        <v>2600</v>
      </c>
      <c r="S7" s="89">
        <f>Q7</f>
        <v>2600</v>
      </c>
      <c r="AA7" s="86"/>
      <c r="AB7" s="86"/>
      <c r="AE7" s="89">
        <f>Q7-S7-T7-U7-W7-Z7-AA7-AB7-AC7-AD7</f>
        <v>0</v>
      </c>
    </row>
    <row r="8" spans="2:28" ht="9.75" customHeight="1">
      <c r="B8" s="160"/>
      <c r="C8" s="161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AA8" s="86"/>
      <c r="AB8" s="86"/>
    </row>
    <row r="9" spans="1:31" s="163" customFormat="1" ht="12" customHeight="1">
      <c r="A9" s="163">
        <v>300</v>
      </c>
      <c r="B9" s="4" t="s">
        <v>688</v>
      </c>
      <c r="C9" s="164"/>
      <c r="E9" s="345">
        <v>973.98</v>
      </c>
      <c r="F9" s="345">
        <v>973.98</v>
      </c>
      <c r="G9" s="345">
        <v>973.98</v>
      </c>
      <c r="H9" s="345">
        <v>973.98</v>
      </c>
      <c r="I9" s="345">
        <v>973.98</v>
      </c>
      <c r="J9" s="345">
        <v>973.98</v>
      </c>
      <c r="K9" s="204"/>
      <c r="L9" s="204"/>
      <c r="M9" s="204"/>
      <c r="N9" s="204"/>
      <c r="O9" s="204"/>
      <c r="P9" s="204"/>
      <c r="Q9" s="237">
        <f>SUM(E9:P9)</f>
        <v>5843.879999999999</v>
      </c>
      <c r="S9" s="89">
        <f>+Q9</f>
        <v>5843.879999999999</v>
      </c>
      <c r="AA9" s="135"/>
      <c r="AB9" s="135"/>
      <c r="AE9" s="89">
        <f>Q9-S9-T9-U9-W9-Z9-AA9-AB9-AC9-AD9</f>
        <v>0</v>
      </c>
    </row>
    <row r="10" spans="2:31" ht="9.75" customHeight="1">
      <c r="B10" s="160"/>
      <c r="C10" s="161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AA10" s="86"/>
      <c r="AB10" s="86"/>
      <c r="AE10" s="89"/>
    </row>
    <row r="11" spans="1:31" ht="15" customHeight="1">
      <c r="A11">
        <v>300</v>
      </c>
      <c r="B11" t="s">
        <v>640</v>
      </c>
      <c r="C11" s="163" t="s">
        <v>641</v>
      </c>
      <c r="E11" s="201">
        <f>25*20*4</f>
        <v>2000</v>
      </c>
      <c r="F11" s="201">
        <f aca="true" t="shared" si="0" ref="F11:P11">25*20*4</f>
        <v>2000</v>
      </c>
      <c r="G11" s="201">
        <f t="shared" si="0"/>
        <v>2000</v>
      </c>
      <c r="H11" s="201">
        <f t="shared" si="0"/>
        <v>2000</v>
      </c>
      <c r="I11" s="201">
        <f>25*20*3</f>
        <v>1500</v>
      </c>
      <c r="J11" s="201">
        <f>25*20*2</f>
        <v>1000</v>
      </c>
      <c r="K11" s="201">
        <f t="shared" si="0"/>
        <v>2000</v>
      </c>
      <c r="L11" s="201">
        <f t="shared" si="0"/>
        <v>2000</v>
      </c>
      <c r="M11" s="201">
        <f>25*20*3</f>
        <v>1500</v>
      </c>
      <c r="N11" s="201">
        <f t="shared" si="0"/>
        <v>2000</v>
      </c>
      <c r="O11" s="201">
        <f t="shared" si="0"/>
        <v>2000</v>
      </c>
      <c r="P11" s="201">
        <f t="shared" si="0"/>
        <v>2000</v>
      </c>
      <c r="Q11" s="237">
        <f>SUM(E11:P11)</f>
        <v>22000</v>
      </c>
      <c r="S11" s="89">
        <f>+Q11</f>
        <v>22000</v>
      </c>
      <c r="AE11" s="89">
        <f>Q11-S11-T11-U11-W11-Z11-AA11-AB11-AC11-AD11</f>
        <v>0</v>
      </c>
    </row>
    <row r="12" spans="2:31" ht="9.75" customHeight="1">
      <c r="B12" s="160"/>
      <c r="C12" s="161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AA12" s="86"/>
      <c r="AB12" s="86"/>
      <c r="AE12" s="89">
        <f>Q12-S12-T12-U12-W12-Z12-AA12-AB12-AC12-AD12</f>
        <v>0</v>
      </c>
    </row>
    <row r="13" spans="1:31" s="163" customFormat="1" ht="15.75" customHeight="1">
      <c r="A13" s="163">
        <v>300</v>
      </c>
      <c r="B13" s="164" t="s">
        <v>99</v>
      </c>
      <c r="C13" s="164"/>
      <c r="E13" s="203">
        <v>2000</v>
      </c>
      <c r="F13" s="203">
        <v>2000</v>
      </c>
      <c r="G13" s="203">
        <v>2000</v>
      </c>
      <c r="H13" s="203">
        <v>2000</v>
      </c>
      <c r="I13" s="203">
        <v>2000</v>
      </c>
      <c r="J13" s="203">
        <v>2000</v>
      </c>
      <c r="K13" s="203">
        <v>2000</v>
      </c>
      <c r="L13" s="203">
        <v>2000</v>
      </c>
      <c r="M13" s="203">
        <v>2000</v>
      </c>
      <c r="N13" s="203">
        <v>2000</v>
      </c>
      <c r="O13" s="203">
        <v>2000</v>
      </c>
      <c r="P13" s="203">
        <v>2000</v>
      </c>
      <c r="Q13" s="237">
        <f>SUM(E13:P13)</f>
        <v>24000</v>
      </c>
      <c r="S13" s="89">
        <f>Q13</f>
        <v>24000</v>
      </c>
      <c r="AA13" s="135"/>
      <c r="AB13" s="135"/>
      <c r="AE13" s="89">
        <f>Q13-S13-T13-U13-W13-Z13-AA13-AB13-AC13-AD13</f>
        <v>0</v>
      </c>
    </row>
    <row r="14" spans="2:28" ht="9.75" customHeight="1">
      <c r="B14" s="160"/>
      <c r="C14" s="161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AA14" s="86"/>
      <c r="AB14" s="86"/>
    </row>
    <row r="15" spans="1:31" ht="12.75">
      <c r="A15">
        <v>300</v>
      </c>
      <c r="B15" s="4" t="s">
        <v>639</v>
      </c>
      <c r="C15" t="s">
        <v>187</v>
      </c>
      <c r="D15" t="s">
        <v>188</v>
      </c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1">
        <v>1500</v>
      </c>
      <c r="Q15" s="201">
        <f>SUM(E15:P15)</f>
        <v>1500</v>
      </c>
      <c r="S15" s="89">
        <f>Q15</f>
        <v>1500</v>
      </c>
      <c r="AA15" s="86"/>
      <c r="AB15" s="86"/>
      <c r="AE15" s="89">
        <f>Q15-S15-T15-U15-W15-Z15-AA15-AB15-AC15-AD15</f>
        <v>0</v>
      </c>
    </row>
    <row r="16" spans="2:28" ht="9.75" customHeight="1">
      <c r="B16" s="160"/>
      <c r="C16" s="161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AA16" s="86"/>
      <c r="AB16" s="86"/>
    </row>
    <row r="17" spans="1:31" ht="12.75">
      <c r="A17">
        <v>300</v>
      </c>
      <c r="B17" s="4" t="s">
        <v>686</v>
      </c>
      <c r="C17" s="4" t="s">
        <v>687</v>
      </c>
      <c r="E17" s="201">
        <v>100</v>
      </c>
      <c r="F17" s="201">
        <v>100</v>
      </c>
      <c r="G17" s="201">
        <v>100</v>
      </c>
      <c r="H17" s="201">
        <v>100</v>
      </c>
      <c r="I17" s="201">
        <v>100</v>
      </c>
      <c r="J17" s="201">
        <v>100</v>
      </c>
      <c r="K17" s="201">
        <v>100</v>
      </c>
      <c r="L17" s="201">
        <v>100</v>
      </c>
      <c r="M17" s="201">
        <v>100</v>
      </c>
      <c r="N17" s="201">
        <v>100</v>
      </c>
      <c r="O17" s="201">
        <v>100</v>
      </c>
      <c r="P17" s="201">
        <v>100</v>
      </c>
      <c r="Q17" s="201">
        <f>SUM(E17:P17)</f>
        <v>1200</v>
      </c>
      <c r="S17" s="89">
        <f>+Q17</f>
        <v>1200</v>
      </c>
      <c r="AA17" s="86"/>
      <c r="AB17" s="86"/>
      <c r="AE17" s="89">
        <f>Q17-S17-T17-U17-W17-Z17-AA17-AB17-AC17-AD17</f>
        <v>0</v>
      </c>
    </row>
    <row r="18" spans="2:28" ht="9.75" customHeight="1">
      <c r="B18" s="160"/>
      <c r="C18" s="161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AA18" s="86"/>
      <c r="AB18" s="86"/>
    </row>
    <row r="19" spans="1:31" ht="12.75">
      <c r="A19">
        <v>300</v>
      </c>
      <c r="B19" t="s">
        <v>160</v>
      </c>
      <c r="C19" t="s">
        <v>190</v>
      </c>
      <c r="E19" s="204">
        <v>600</v>
      </c>
      <c r="F19" s="204">
        <v>600</v>
      </c>
      <c r="G19" s="204">
        <v>600</v>
      </c>
      <c r="H19" s="204">
        <v>600</v>
      </c>
      <c r="I19" s="204">
        <v>600</v>
      </c>
      <c r="J19" s="204">
        <v>600</v>
      </c>
      <c r="K19" s="204">
        <v>600</v>
      </c>
      <c r="L19" s="204">
        <v>600</v>
      </c>
      <c r="M19" s="204">
        <v>600</v>
      </c>
      <c r="N19" s="204">
        <v>600</v>
      </c>
      <c r="O19" s="204">
        <v>600</v>
      </c>
      <c r="P19" s="204">
        <v>600</v>
      </c>
      <c r="Q19" s="237">
        <f>SUM(E19:P19)</f>
        <v>7200</v>
      </c>
      <c r="S19" s="89">
        <f>Q19</f>
        <v>7200</v>
      </c>
      <c r="AA19" s="86"/>
      <c r="AB19" s="86"/>
      <c r="AE19" s="89">
        <f>Q19-S19-T19-U19-W19-Z19-AA19-AB19-AC19-AD19</f>
        <v>0</v>
      </c>
    </row>
    <row r="20" spans="1:31" ht="12.75">
      <c r="A20">
        <v>300</v>
      </c>
      <c r="C20" s="164" t="s">
        <v>249</v>
      </c>
      <c r="E20" s="204">
        <v>170</v>
      </c>
      <c r="F20" s="204">
        <v>170</v>
      </c>
      <c r="G20" s="204">
        <v>170</v>
      </c>
      <c r="H20" s="204">
        <v>170</v>
      </c>
      <c r="I20" s="204">
        <v>170</v>
      </c>
      <c r="J20" s="204">
        <v>170</v>
      </c>
      <c r="K20" s="204">
        <v>170</v>
      </c>
      <c r="L20" s="204">
        <v>170</v>
      </c>
      <c r="M20" s="204">
        <v>170</v>
      </c>
      <c r="N20" s="204">
        <v>170</v>
      </c>
      <c r="O20" s="204">
        <v>170</v>
      </c>
      <c r="P20" s="204">
        <v>170</v>
      </c>
      <c r="Q20" s="237">
        <f>SUM(E20:P20)</f>
        <v>2040</v>
      </c>
      <c r="S20" s="89">
        <f>Q20</f>
        <v>2040</v>
      </c>
      <c r="AA20" s="86"/>
      <c r="AB20" s="86"/>
      <c r="AE20" s="89">
        <f>Q20-S20-T20-U20-W20-Z20-AA20-AB20-AC20-AD20</f>
        <v>0</v>
      </c>
    </row>
    <row r="21" spans="2:28" ht="9.75" customHeight="1">
      <c r="B21" s="160"/>
      <c r="C21" s="161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AA21" s="86"/>
      <c r="AB21" s="86"/>
    </row>
    <row r="22" spans="1:31" s="163" customFormat="1" ht="12.75" customHeight="1">
      <c r="A22" s="163">
        <v>300</v>
      </c>
      <c r="B22" s="164" t="s">
        <v>708</v>
      </c>
      <c r="C22" s="164" t="s">
        <v>98</v>
      </c>
      <c r="E22" s="204"/>
      <c r="F22" s="303">
        <v>10000</v>
      </c>
      <c r="G22" s="303">
        <v>8000</v>
      </c>
      <c r="H22" s="303"/>
      <c r="I22" s="204"/>
      <c r="J22" s="204"/>
      <c r="K22" s="204"/>
      <c r="L22" s="204"/>
      <c r="M22" s="204"/>
      <c r="N22" s="204"/>
      <c r="O22" s="204"/>
      <c r="P22" s="204"/>
      <c r="Q22" s="237">
        <f>SUM(E22:P22)</f>
        <v>18000</v>
      </c>
      <c r="S22" s="89">
        <f>Q22</f>
        <v>18000</v>
      </c>
      <c r="AA22" s="135"/>
      <c r="AB22" s="135"/>
      <c r="AE22" s="89">
        <f>Q22-S22-T22-U22-W22-Z22-AA22-AB22-AC22-AD22</f>
        <v>0</v>
      </c>
    </row>
    <row r="23" spans="2:28" ht="9.75" customHeight="1">
      <c r="B23" s="160"/>
      <c r="C23" s="161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AA23" s="86"/>
      <c r="AB23" s="86"/>
    </row>
    <row r="24" spans="1:31" ht="12.75">
      <c r="A24">
        <v>300</v>
      </c>
      <c r="B24" t="s">
        <v>191</v>
      </c>
      <c r="C24" t="s">
        <v>192</v>
      </c>
      <c r="E24" s="203">
        <v>200</v>
      </c>
      <c r="F24" s="203">
        <v>200</v>
      </c>
      <c r="G24" s="203">
        <v>200</v>
      </c>
      <c r="H24" s="203">
        <v>200</v>
      </c>
      <c r="I24" s="203">
        <v>200</v>
      </c>
      <c r="J24" s="203">
        <v>200</v>
      </c>
      <c r="K24" s="203">
        <v>200</v>
      </c>
      <c r="L24" s="203">
        <v>200</v>
      </c>
      <c r="M24" s="203">
        <v>200</v>
      </c>
      <c r="N24" s="203">
        <v>200</v>
      </c>
      <c r="O24" s="203">
        <v>200</v>
      </c>
      <c r="P24" s="203">
        <v>200</v>
      </c>
      <c r="Q24" s="237">
        <f>SUM(E24:P24)</f>
        <v>2400</v>
      </c>
      <c r="S24" s="89">
        <f>Q24</f>
        <v>2400</v>
      </c>
      <c r="AA24" s="86"/>
      <c r="AB24" s="86"/>
      <c r="AE24" s="89">
        <f>Q24-S24-T24-U24-W24-Z24-AA24-AB24-AC24-AD24</f>
        <v>0</v>
      </c>
    </row>
    <row r="25" spans="2:28" ht="9.75" customHeight="1">
      <c r="B25" s="160"/>
      <c r="C25" s="161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AA25" s="86"/>
      <c r="AB25" s="86"/>
    </row>
    <row r="26" spans="1:31" s="163" customFormat="1" ht="12.75" customHeight="1">
      <c r="A26" s="163">
        <v>300</v>
      </c>
      <c r="B26" s="164" t="s">
        <v>622</v>
      </c>
      <c r="C26" s="164"/>
      <c r="E26" s="204"/>
      <c r="F26" s="204"/>
      <c r="G26" s="203"/>
      <c r="H26" s="203"/>
      <c r="I26" s="203"/>
      <c r="J26" s="203"/>
      <c r="K26" s="203"/>
      <c r="L26" s="203"/>
      <c r="M26" s="203"/>
      <c r="N26" s="204"/>
      <c r="O26" s="204">
        <v>500</v>
      </c>
      <c r="P26" s="204"/>
      <c r="Q26" s="263">
        <f>SUM(E26:P26)</f>
        <v>500</v>
      </c>
      <c r="AA26" s="135"/>
      <c r="AB26" s="135">
        <f>+Q26</f>
        <v>500</v>
      </c>
      <c r="AE26" s="89">
        <f>Q26-S26-T26-U26-W26-Z26-AA26-AB26-AC26-AD26</f>
        <v>0</v>
      </c>
    </row>
    <row r="27" spans="2:28" ht="9.75" customHeight="1">
      <c r="B27" s="160"/>
      <c r="C27" s="161"/>
      <c r="D27" s="160"/>
      <c r="E27" s="160"/>
      <c r="F27" s="160"/>
      <c r="G27" s="225"/>
      <c r="H27" s="225"/>
      <c r="I27" s="225"/>
      <c r="J27" s="225"/>
      <c r="K27" s="225"/>
      <c r="L27" s="225"/>
      <c r="M27" s="225"/>
      <c r="N27" s="160"/>
      <c r="O27" s="160"/>
      <c r="P27" s="160"/>
      <c r="Q27" s="160"/>
      <c r="AA27" s="86"/>
      <c r="AB27" s="86"/>
    </row>
    <row r="28" spans="1:31" ht="12.75">
      <c r="A28">
        <v>300</v>
      </c>
      <c r="B28" s="4" t="s">
        <v>64</v>
      </c>
      <c r="C28" s="164"/>
      <c r="E28" s="200"/>
      <c r="F28" s="200"/>
      <c r="G28" s="201"/>
      <c r="H28" s="201">
        <v>8000</v>
      </c>
      <c r="I28" s="201"/>
      <c r="J28" s="201">
        <v>8000</v>
      </c>
      <c r="K28" s="201"/>
      <c r="L28" s="201"/>
      <c r="M28" s="201">
        <v>9000</v>
      </c>
      <c r="N28" s="200"/>
      <c r="O28" s="200"/>
      <c r="P28" s="200"/>
      <c r="Q28" s="263">
        <f>SUM(E28:P28)</f>
        <v>25000</v>
      </c>
      <c r="S28" s="89">
        <v>0</v>
      </c>
      <c r="Z28" s="89">
        <f>Q28-S28</f>
        <v>25000</v>
      </c>
      <c r="AA28" s="86"/>
      <c r="AB28" s="86"/>
      <c r="AE28" s="89">
        <f>Q28-S28-T28-U28-W28-Z28-AA28-AB28-AC28-AD28</f>
        <v>0</v>
      </c>
    </row>
    <row r="29" spans="2:28" ht="9.75" customHeight="1">
      <c r="B29" s="160"/>
      <c r="C29" s="161"/>
      <c r="D29" s="160"/>
      <c r="E29" s="160"/>
      <c r="F29" s="160"/>
      <c r="G29" s="225"/>
      <c r="H29" s="225"/>
      <c r="I29" s="225"/>
      <c r="J29" s="225"/>
      <c r="K29" s="225"/>
      <c r="L29" s="225"/>
      <c r="M29" s="225"/>
      <c r="N29" s="160"/>
      <c r="O29" s="160"/>
      <c r="P29" s="160"/>
      <c r="Q29" s="160"/>
      <c r="AA29" s="86"/>
      <c r="AB29" s="86"/>
    </row>
    <row r="30" spans="1:31" ht="12.75">
      <c r="A30">
        <v>300</v>
      </c>
      <c r="B30" s="4" t="s">
        <v>705</v>
      </c>
      <c r="C30" s="164"/>
      <c r="E30" s="200">
        <v>6000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63">
        <f>SUM(E30:P30)</f>
        <v>6000</v>
      </c>
      <c r="S30" s="89">
        <f>+Q30</f>
        <v>6000</v>
      </c>
      <c r="Z30" s="89"/>
      <c r="AA30" s="86"/>
      <c r="AB30" s="86"/>
      <c r="AE30" s="89">
        <f>Q30-S30-T30-U30-W30-Z30-AA30-AB30-AC30-AD30</f>
        <v>0</v>
      </c>
    </row>
    <row r="31" spans="2:28" ht="9.75" customHeight="1">
      <c r="B31" s="160"/>
      <c r="C31" s="161"/>
      <c r="D31" s="160"/>
      <c r="E31" s="160"/>
      <c r="F31" s="160"/>
      <c r="G31" s="225"/>
      <c r="H31" s="225"/>
      <c r="I31" s="225"/>
      <c r="J31" s="225"/>
      <c r="K31" s="225"/>
      <c r="L31" s="225"/>
      <c r="M31" s="225"/>
      <c r="N31" s="160"/>
      <c r="O31" s="160"/>
      <c r="P31" s="160"/>
      <c r="Q31" s="160"/>
      <c r="AA31" s="86"/>
      <c r="AB31" s="86"/>
    </row>
    <row r="32" spans="1:31" ht="12.75">
      <c r="A32">
        <v>300</v>
      </c>
      <c r="B32" s="4" t="s">
        <v>124</v>
      </c>
      <c r="C32" s="164"/>
      <c r="E32" s="201">
        <v>5000</v>
      </c>
      <c r="F32" s="200"/>
      <c r="G32" s="201">
        <v>14210</v>
      </c>
      <c r="H32" s="201"/>
      <c r="I32" s="201">
        <v>9210</v>
      </c>
      <c r="J32" s="201"/>
      <c r="K32" s="201"/>
      <c r="L32" s="201"/>
      <c r="M32" s="201"/>
      <c r="N32" s="200"/>
      <c r="O32" s="200"/>
      <c r="P32" s="200"/>
      <c r="Q32" s="263">
        <f>SUM(E32:P32)</f>
        <v>28420</v>
      </c>
      <c r="S32">
        <f>-7410+10000+484-35+2</f>
        <v>3041</v>
      </c>
      <c r="Z32" s="89">
        <f>Q32-10000+7410-484+35-2</f>
        <v>25379</v>
      </c>
      <c r="AA32" s="86"/>
      <c r="AB32" s="86"/>
      <c r="AE32" s="89">
        <f>Q32-S32-T32-U32-W32-Z32-AA32-AB32-AC32-AD32</f>
        <v>0</v>
      </c>
    </row>
    <row r="33" spans="2:28" ht="9.75" customHeight="1">
      <c r="B33" s="160"/>
      <c r="C33" s="161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AA33" s="86"/>
      <c r="AB33" s="86"/>
    </row>
    <row r="34" spans="1:31" ht="12.75">
      <c r="A34">
        <v>300</v>
      </c>
      <c r="B34" s="4" t="s">
        <v>621</v>
      </c>
      <c r="C34" s="164"/>
      <c r="E34" s="201"/>
      <c r="F34" s="201"/>
      <c r="G34" s="201"/>
      <c r="H34" s="201"/>
      <c r="I34" s="201"/>
      <c r="J34" s="201"/>
      <c r="K34" s="345">
        <v>7980</v>
      </c>
      <c r="L34" s="201"/>
      <c r="M34" s="201"/>
      <c r="N34" s="201"/>
      <c r="O34" s="201"/>
      <c r="P34" s="201"/>
      <c r="Q34" s="237">
        <f>SUM(E34:P34)</f>
        <v>7980</v>
      </c>
      <c r="S34" s="229">
        <f>+Q34</f>
        <v>7980</v>
      </c>
      <c r="T34" s="163"/>
      <c r="U34" s="163"/>
      <c r="V34" s="163"/>
      <c r="Z34" s="163"/>
      <c r="AA34" s="135"/>
      <c r="AB34" s="290"/>
      <c r="AE34" s="89">
        <f>Q34-S34-T34-U34-W34-Z34-AA34-AB34-AC34-AD34</f>
        <v>0</v>
      </c>
    </row>
    <row r="35" spans="2:17" ht="9.75" customHeight="1">
      <c r="B35" s="160"/>
      <c r="C35" s="161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</row>
    <row r="36" spans="1:31" s="163" customFormat="1" ht="13.5" customHeight="1">
      <c r="A36" s="163">
        <v>300</v>
      </c>
      <c r="B36" s="164" t="s">
        <v>706</v>
      </c>
      <c r="C36" s="164"/>
      <c r="E36" s="204">
        <v>39</v>
      </c>
      <c r="F36" s="204">
        <v>39</v>
      </c>
      <c r="G36" s="204">
        <v>39</v>
      </c>
      <c r="H36" s="204">
        <v>39</v>
      </c>
      <c r="I36" s="204">
        <v>39</v>
      </c>
      <c r="J36" s="204">
        <v>39</v>
      </c>
      <c r="K36" s="204">
        <v>39</v>
      </c>
      <c r="L36" s="204">
        <v>39</v>
      </c>
      <c r="M36" s="204">
        <v>39</v>
      </c>
      <c r="N36" s="204">
        <v>39</v>
      </c>
      <c r="O36" s="204">
        <v>39</v>
      </c>
      <c r="P36" s="204">
        <v>39</v>
      </c>
      <c r="Q36" s="237">
        <f>SUM(E36:P36)</f>
        <v>468</v>
      </c>
      <c r="S36" s="229">
        <f>+Q36</f>
        <v>468</v>
      </c>
      <c r="AE36" s="89">
        <f>Q36-S36-T36-U36-W36-Z36-AA36-AB36-AC36-AD36</f>
        <v>0</v>
      </c>
    </row>
    <row r="37" spans="2:17" ht="9.75" customHeight="1">
      <c r="B37" s="160"/>
      <c r="C37" s="161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</row>
    <row r="38" spans="1:31" s="163" customFormat="1" ht="14.25" customHeight="1">
      <c r="A38" s="163">
        <v>300</v>
      </c>
      <c r="B38" s="164" t="s">
        <v>619</v>
      </c>
      <c r="C38" s="164"/>
      <c r="E38" s="204"/>
      <c r="F38" s="204"/>
      <c r="G38" s="203"/>
      <c r="H38" s="203"/>
      <c r="I38" s="203">
        <v>22500</v>
      </c>
      <c r="J38" s="203"/>
      <c r="K38" s="203"/>
      <c r="L38" s="203"/>
      <c r="M38" s="203"/>
      <c r="N38" s="203">
        <v>22500</v>
      </c>
      <c r="O38" s="203"/>
      <c r="P38" s="204"/>
      <c r="Q38" s="263">
        <f>SUM(E38:P38)</f>
        <v>45000</v>
      </c>
      <c r="S38" s="89">
        <f>+Q38</f>
        <v>45000</v>
      </c>
      <c r="AE38" s="89">
        <f>Q38-S38-T38-U38-W38-Z38-AA38-AB38-AC38-AD38</f>
        <v>0</v>
      </c>
    </row>
    <row r="39" spans="2:17" ht="10.5" customHeight="1">
      <c r="B39" s="160"/>
      <c r="C39" s="161"/>
      <c r="D39" s="160"/>
      <c r="E39" s="160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160"/>
      <c r="Q39" s="160"/>
    </row>
    <row r="40" spans="1:31" s="163" customFormat="1" ht="16.5" customHeight="1">
      <c r="A40" s="163">
        <v>300</v>
      </c>
      <c r="B40" s="163" t="s">
        <v>51</v>
      </c>
      <c r="C40" s="164" t="s">
        <v>52</v>
      </c>
      <c r="E40" s="204"/>
      <c r="F40" s="203"/>
      <c r="G40" s="203">
        <v>500</v>
      </c>
      <c r="H40" s="203">
        <v>500</v>
      </c>
      <c r="I40" s="203">
        <v>500</v>
      </c>
      <c r="J40" s="203">
        <v>250</v>
      </c>
      <c r="K40" s="203">
        <v>500</v>
      </c>
      <c r="L40" s="203">
        <v>500</v>
      </c>
      <c r="M40" s="203">
        <v>500</v>
      </c>
      <c r="N40" s="203">
        <v>500</v>
      </c>
      <c r="O40" s="203">
        <v>250</v>
      </c>
      <c r="P40" s="204"/>
      <c r="Q40" s="263">
        <f>SUM(E40:P40)</f>
        <v>4000</v>
      </c>
      <c r="S40" s="229">
        <f>Q40</f>
        <v>4000</v>
      </c>
      <c r="AE40" s="89">
        <f>Q40-S40-T40-U40-W40-Z40-AA40-AB40-AC40-AD40</f>
        <v>0</v>
      </c>
    </row>
    <row r="41" spans="2:17" ht="9.75" customHeight="1">
      <c r="B41" s="160"/>
      <c r="C41" s="161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</row>
    <row r="42" spans="3:17" s="331" customFormat="1" ht="15.75" customHeight="1">
      <c r="C42" s="331" t="s">
        <v>624</v>
      </c>
      <c r="E42" s="332">
        <f>SUM(E3:E41)</f>
        <v>19790.98</v>
      </c>
      <c r="F42" s="332">
        <f aca="true" t="shared" si="1" ref="F42:Q42">SUM(F3:F41)</f>
        <v>24190.98</v>
      </c>
      <c r="G42" s="332">
        <f t="shared" si="1"/>
        <v>37900.979999999996</v>
      </c>
      <c r="H42" s="332">
        <f t="shared" si="1"/>
        <v>18690.98</v>
      </c>
      <c r="I42" s="332">
        <f t="shared" si="1"/>
        <v>41900.979999999996</v>
      </c>
      <c r="J42" s="332">
        <f t="shared" si="1"/>
        <v>17440.98</v>
      </c>
      <c r="K42" s="332">
        <f t="shared" si="1"/>
        <v>17697</v>
      </c>
      <c r="L42" s="332">
        <f t="shared" si="1"/>
        <v>9717</v>
      </c>
      <c r="M42" s="332">
        <f t="shared" si="1"/>
        <v>18217</v>
      </c>
      <c r="N42" s="332">
        <f t="shared" si="1"/>
        <v>32217</v>
      </c>
      <c r="O42" s="332">
        <f t="shared" si="1"/>
        <v>9967</v>
      </c>
      <c r="P42" s="332">
        <f t="shared" si="1"/>
        <v>6717</v>
      </c>
      <c r="Q42" s="332">
        <f t="shared" si="1"/>
        <v>254447.88</v>
      </c>
    </row>
    <row r="43" s="327" customFormat="1" ht="9" customHeight="1"/>
    <row r="44" spans="1:31" ht="12.75">
      <c r="A44">
        <v>400</v>
      </c>
      <c r="B44" t="s">
        <v>179</v>
      </c>
      <c r="C44" t="s">
        <v>181</v>
      </c>
      <c r="E44" s="200">
        <v>147</v>
      </c>
      <c r="F44" s="200">
        <v>147</v>
      </c>
      <c r="G44" s="200">
        <v>147</v>
      </c>
      <c r="H44" s="200">
        <v>147</v>
      </c>
      <c r="I44" s="200">
        <v>147</v>
      </c>
      <c r="J44" s="200">
        <v>147</v>
      </c>
      <c r="K44" s="200">
        <v>147</v>
      </c>
      <c r="L44" s="200">
        <v>147</v>
      </c>
      <c r="M44" s="200">
        <v>147</v>
      </c>
      <c r="N44" s="200">
        <v>147</v>
      </c>
      <c r="O44" s="200">
        <v>147</v>
      </c>
      <c r="P44" s="200">
        <v>147</v>
      </c>
      <c r="Q44" s="237">
        <f>SUM(E44:P44)</f>
        <v>1764</v>
      </c>
      <c r="T44" s="89">
        <f>Q44</f>
        <v>1764</v>
      </c>
      <c r="AE44" s="89">
        <f>Q44-S44-T44-U44-W44-Z44-AA44-AB44-AC44-AD44</f>
        <v>0</v>
      </c>
    </row>
    <row r="45" spans="2:17" ht="9.75" customHeight="1">
      <c r="B45" s="160"/>
      <c r="C45" s="161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</row>
    <row r="46" spans="1:31" s="86" customFormat="1" ht="12.75">
      <c r="A46">
        <v>400</v>
      </c>
      <c r="B46" s="329" t="s">
        <v>689</v>
      </c>
      <c r="C46" s="223" t="s">
        <v>270</v>
      </c>
      <c r="D46" s="135">
        <v>10000</v>
      </c>
      <c r="E46" s="203">
        <f aca="true" t="shared" si="2" ref="E46:P46">$D$46</f>
        <v>10000</v>
      </c>
      <c r="F46" s="203">
        <f t="shared" si="2"/>
        <v>10000</v>
      </c>
      <c r="G46" s="203">
        <f t="shared" si="2"/>
        <v>10000</v>
      </c>
      <c r="H46" s="203">
        <f t="shared" si="2"/>
        <v>10000</v>
      </c>
      <c r="I46" s="203">
        <f t="shared" si="2"/>
        <v>10000</v>
      </c>
      <c r="J46" s="203">
        <f t="shared" si="2"/>
        <v>10000</v>
      </c>
      <c r="K46" s="203">
        <f t="shared" si="2"/>
        <v>10000</v>
      </c>
      <c r="L46" s="203">
        <f t="shared" si="2"/>
        <v>10000</v>
      </c>
      <c r="M46" s="203">
        <f t="shared" si="2"/>
        <v>10000</v>
      </c>
      <c r="N46" s="203">
        <f t="shared" si="2"/>
        <v>10000</v>
      </c>
      <c r="O46" s="203">
        <f t="shared" si="2"/>
        <v>10000</v>
      </c>
      <c r="P46" s="203">
        <f t="shared" si="2"/>
        <v>10000</v>
      </c>
      <c r="Q46" s="237">
        <f>SUM(E46:P46)</f>
        <v>120000</v>
      </c>
      <c r="T46" s="86">
        <f>Q46</f>
        <v>120000</v>
      </c>
      <c r="W46" s="135"/>
      <c r="X46" s="135"/>
      <c r="Y46" s="135"/>
      <c r="AE46" s="89">
        <f>Q46-S46-T46-U46-W46-Z46-AA46-AB46-AC46-AD46</f>
        <v>0</v>
      </c>
    </row>
    <row r="47" spans="2:17" ht="9.75" customHeight="1">
      <c r="B47" s="160"/>
      <c r="C47" s="161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</row>
    <row r="48" spans="1:31" ht="12.75">
      <c r="A48">
        <v>400</v>
      </c>
      <c r="B48" s="4" t="s">
        <v>156</v>
      </c>
      <c r="C48" t="s">
        <v>178</v>
      </c>
      <c r="E48" s="205">
        <v>5722</v>
      </c>
      <c r="F48" s="200"/>
      <c r="G48" s="200"/>
      <c r="H48" s="205">
        <v>5722</v>
      </c>
      <c r="I48" s="200"/>
      <c r="J48" s="200"/>
      <c r="K48" s="205">
        <v>5722</v>
      </c>
      <c r="L48" s="200"/>
      <c r="M48" s="200"/>
      <c r="N48" s="205">
        <v>5722</v>
      </c>
      <c r="O48" s="200"/>
      <c r="P48" s="200"/>
      <c r="Q48" s="237">
        <f>SUM(E48:P48)</f>
        <v>22888</v>
      </c>
      <c r="T48" s="89">
        <f>Q48</f>
        <v>22888</v>
      </c>
      <c r="AE48" s="89">
        <f>Q48-S48-T48-U48-W48-Z48-AA48-AB48-AC48-AD48</f>
        <v>0</v>
      </c>
    </row>
    <row r="49" spans="2:17" ht="9.75" customHeight="1">
      <c r="B49" s="160"/>
      <c r="C49" s="161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</row>
    <row r="50" spans="1:31" ht="12.75">
      <c r="A50">
        <v>400</v>
      </c>
      <c r="B50" t="s">
        <v>185</v>
      </c>
      <c r="C50" t="s">
        <v>186</v>
      </c>
      <c r="E50" s="200">
        <v>330</v>
      </c>
      <c r="F50" s="200">
        <v>330</v>
      </c>
      <c r="G50" s="200">
        <v>330</v>
      </c>
      <c r="H50" s="200">
        <v>330</v>
      </c>
      <c r="I50" s="200">
        <v>330</v>
      </c>
      <c r="J50" s="200">
        <v>330</v>
      </c>
      <c r="K50" s="200">
        <v>330</v>
      </c>
      <c r="L50" s="200">
        <v>330</v>
      </c>
      <c r="M50" s="200">
        <v>330</v>
      </c>
      <c r="N50" s="200">
        <v>330</v>
      </c>
      <c r="O50" s="200">
        <v>330</v>
      </c>
      <c r="P50" s="200">
        <v>330</v>
      </c>
      <c r="Q50" s="237">
        <f>SUM(E50:P50)</f>
        <v>3960</v>
      </c>
      <c r="T50" s="89">
        <f>Q50</f>
        <v>3960</v>
      </c>
      <c r="AE50" s="89">
        <f>Q50-S50-T50-U50-W50-Z50-AA50-AB50-AC50-AD50</f>
        <v>0</v>
      </c>
    </row>
    <row r="51" spans="2:17" ht="9.75" customHeight="1">
      <c r="B51" s="160"/>
      <c r="C51" s="161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</row>
    <row r="52" spans="1:31" ht="12.75">
      <c r="A52">
        <v>400</v>
      </c>
      <c r="B52" s="4" t="s">
        <v>659</v>
      </c>
      <c r="C52" t="s">
        <v>165</v>
      </c>
      <c r="E52" s="201">
        <f>+$D$53*E54</f>
        <v>0</v>
      </c>
      <c r="F52" s="201">
        <f aca="true" t="shared" si="3" ref="F52:P52">+$D$53*F54</f>
        <v>2732.96</v>
      </c>
      <c r="G52" s="201">
        <f t="shared" si="3"/>
        <v>2589.12</v>
      </c>
      <c r="H52" s="201">
        <f t="shared" si="3"/>
        <v>3164.48</v>
      </c>
      <c r="I52" s="201">
        <f t="shared" si="3"/>
        <v>2157.6</v>
      </c>
      <c r="J52" s="201">
        <f t="shared" si="3"/>
        <v>2157.6</v>
      </c>
      <c r="K52" s="201">
        <f t="shared" si="3"/>
        <v>2445.28</v>
      </c>
      <c r="L52" s="201">
        <f t="shared" si="3"/>
        <v>2013.76</v>
      </c>
      <c r="M52" s="201">
        <f t="shared" si="3"/>
        <v>2732.96</v>
      </c>
      <c r="N52" s="201">
        <f t="shared" si="3"/>
        <v>2157.6</v>
      </c>
      <c r="O52" s="201">
        <f t="shared" si="3"/>
        <v>2445.28</v>
      </c>
      <c r="P52" s="201">
        <f t="shared" si="3"/>
        <v>2157.6</v>
      </c>
      <c r="Q52" s="237">
        <f>SUM(E52:P52)</f>
        <v>26754.239999999994</v>
      </c>
      <c r="S52" s="89">
        <f>Q52</f>
        <v>26754.239999999994</v>
      </c>
      <c r="AA52" s="86"/>
      <c r="AB52" s="86"/>
      <c r="AE52" s="89">
        <f>Q52-S52-T52-U52-W52-Z52-AA52-AB52-AC52-AD52</f>
        <v>0</v>
      </c>
    </row>
    <row r="53" spans="3:28" ht="12.75">
      <c r="C53" t="s">
        <v>166</v>
      </c>
      <c r="D53" s="162">
        <v>17.98</v>
      </c>
      <c r="AA53" s="86"/>
      <c r="AB53" s="86"/>
    </row>
    <row r="54" spans="3:28" ht="12.75">
      <c r="C54" s="4" t="s">
        <v>685</v>
      </c>
      <c r="F54">
        <v>152</v>
      </c>
      <c r="G54">
        <v>144</v>
      </c>
      <c r="H54">
        <v>176</v>
      </c>
      <c r="I54">
        <v>120</v>
      </c>
      <c r="J54">
        <v>120</v>
      </c>
      <c r="K54">
        <v>136</v>
      </c>
      <c r="L54">
        <v>112</v>
      </c>
      <c r="M54">
        <v>152</v>
      </c>
      <c r="N54">
        <v>120</v>
      </c>
      <c r="O54">
        <v>136</v>
      </c>
      <c r="P54">
        <f>40*3</f>
        <v>120</v>
      </c>
      <c r="AA54" s="86"/>
      <c r="AB54" s="86"/>
    </row>
    <row r="55" spans="2:28" ht="9.75" customHeight="1">
      <c r="B55" s="160"/>
      <c r="C55" s="161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AA55" s="86"/>
      <c r="AB55" s="86"/>
    </row>
    <row r="56" spans="1:31" ht="12.75">
      <c r="A56">
        <v>400</v>
      </c>
      <c r="B56" s="4" t="s">
        <v>100</v>
      </c>
      <c r="C56" s="4" t="s">
        <v>101</v>
      </c>
      <c r="E56" s="204">
        <v>285</v>
      </c>
      <c r="F56" s="204">
        <v>285</v>
      </c>
      <c r="G56" s="204">
        <v>285</v>
      </c>
      <c r="H56" s="204">
        <v>285</v>
      </c>
      <c r="I56" s="204">
        <v>285</v>
      </c>
      <c r="J56" s="204">
        <v>285</v>
      </c>
      <c r="K56" s="204">
        <v>285</v>
      </c>
      <c r="L56" s="204">
        <v>285</v>
      </c>
      <c r="M56" s="204">
        <v>285</v>
      </c>
      <c r="N56" s="204">
        <v>285</v>
      </c>
      <c r="O56" s="204">
        <v>285</v>
      </c>
      <c r="P56" s="204">
        <v>285</v>
      </c>
      <c r="Q56" s="237">
        <f>SUM(E56:P56)</f>
        <v>3420</v>
      </c>
      <c r="T56" s="89">
        <f>Q56</f>
        <v>3420</v>
      </c>
      <c r="AE56" s="89">
        <f>Q56-S56-T56-U56-W56-Z56-AA56-AB56-AC56-AD56</f>
        <v>0</v>
      </c>
    </row>
    <row r="57" spans="2:17" ht="9.75" customHeight="1">
      <c r="B57" s="160"/>
      <c r="C57" s="161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</row>
    <row r="58" spans="1:31" s="164" customFormat="1" ht="13.5" customHeight="1">
      <c r="A58" s="164">
        <v>400</v>
      </c>
      <c r="B58" s="164" t="s">
        <v>128</v>
      </c>
      <c r="C58" s="164" t="s">
        <v>129</v>
      </c>
      <c r="E58" s="224">
        <v>7500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237">
        <f>SUM(E58:P58)</f>
        <v>7500</v>
      </c>
      <c r="T58" s="278">
        <f>Q58</f>
        <v>7500</v>
      </c>
      <c r="AE58" s="89">
        <f>Q58-S58-T58-U58-W58-Z58-AA58-AB58-AC58-AD58</f>
        <v>0</v>
      </c>
    </row>
    <row r="59" spans="2:17" ht="9.75" customHeight="1">
      <c r="B59" s="160"/>
      <c r="C59" s="161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</row>
    <row r="60" spans="1:4" ht="12.75">
      <c r="A60">
        <v>400</v>
      </c>
      <c r="B60" t="s">
        <v>167</v>
      </c>
      <c r="C60" t="s">
        <v>172</v>
      </c>
      <c r="D60">
        <v>450</v>
      </c>
    </row>
    <row r="61" spans="2:4" ht="12.75">
      <c r="B61" t="s">
        <v>177</v>
      </c>
      <c r="C61" t="s">
        <v>173</v>
      </c>
      <c r="D61">
        <v>750</v>
      </c>
    </row>
    <row r="62" spans="3:4" ht="12.75">
      <c r="C62" t="s">
        <v>174</v>
      </c>
      <c r="D62" s="43">
        <v>750</v>
      </c>
    </row>
    <row r="63" spans="4:31" ht="12.75">
      <c r="D63">
        <f>SUM(D60:D62)</f>
        <v>1950</v>
      </c>
      <c r="E63" s="200">
        <f aca="true" t="shared" si="4" ref="E63:P63">$D$63</f>
        <v>1950</v>
      </c>
      <c r="F63" s="200">
        <f t="shared" si="4"/>
        <v>1950</v>
      </c>
      <c r="G63" s="200">
        <f t="shared" si="4"/>
        <v>1950</v>
      </c>
      <c r="H63" s="200">
        <f t="shared" si="4"/>
        <v>1950</v>
      </c>
      <c r="I63" s="200">
        <f t="shared" si="4"/>
        <v>1950</v>
      </c>
      <c r="J63" s="200">
        <f t="shared" si="4"/>
        <v>1950</v>
      </c>
      <c r="K63" s="200">
        <f t="shared" si="4"/>
        <v>1950</v>
      </c>
      <c r="L63" s="200">
        <f t="shared" si="4"/>
        <v>1950</v>
      </c>
      <c r="M63" s="200">
        <f t="shared" si="4"/>
        <v>1950</v>
      </c>
      <c r="N63" s="200">
        <f t="shared" si="4"/>
        <v>1950</v>
      </c>
      <c r="O63" s="200">
        <f t="shared" si="4"/>
        <v>1950</v>
      </c>
      <c r="P63" s="200">
        <f t="shared" si="4"/>
        <v>1950</v>
      </c>
      <c r="Q63" s="237">
        <f>SUM(E63:P63)</f>
        <v>23400</v>
      </c>
      <c r="S63" s="89"/>
      <c r="U63" s="89">
        <f>Q63</f>
        <v>23400</v>
      </c>
      <c r="V63" s="89"/>
      <c r="AE63" s="89">
        <f>Q63-S63-T63-U63-W63-Z63-AA63-AB63-AC63-AD63</f>
        <v>0</v>
      </c>
    </row>
    <row r="64" spans="3:31" ht="12.75">
      <c r="C64" t="s">
        <v>175</v>
      </c>
      <c r="D64" s="86">
        <v>252</v>
      </c>
      <c r="E64" s="200">
        <f aca="true" t="shared" si="5" ref="E64:N64">$D$64</f>
        <v>252</v>
      </c>
      <c r="F64" s="200">
        <f t="shared" si="5"/>
        <v>252</v>
      </c>
      <c r="G64" s="200">
        <f t="shared" si="5"/>
        <v>252</v>
      </c>
      <c r="H64" s="200">
        <f t="shared" si="5"/>
        <v>252</v>
      </c>
      <c r="I64" s="200">
        <f t="shared" si="5"/>
        <v>252</v>
      </c>
      <c r="J64" s="200">
        <f t="shared" si="5"/>
        <v>252</v>
      </c>
      <c r="K64" s="200">
        <f t="shared" si="5"/>
        <v>252</v>
      </c>
      <c r="L64" s="200">
        <f t="shared" si="5"/>
        <v>252</v>
      </c>
      <c r="M64" s="200">
        <f t="shared" si="5"/>
        <v>252</v>
      </c>
      <c r="N64" s="200">
        <f t="shared" si="5"/>
        <v>252</v>
      </c>
      <c r="O64" s="200">
        <f>M64</f>
        <v>252</v>
      </c>
      <c r="P64" s="200">
        <f>N64</f>
        <v>252</v>
      </c>
      <c r="Q64" s="237">
        <f>SUM(E64:P64)</f>
        <v>3024</v>
      </c>
      <c r="U64" s="89">
        <f>Q64</f>
        <v>3024</v>
      </c>
      <c r="V64" s="89"/>
      <c r="AE64" s="89">
        <f>Q64-S64-T64-U64-W64-Z64-AA64-AB64-AC64-AD64</f>
        <v>0</v>
      </c>
    </row>
    <row r="65" spans="2:17" ht="9.75" customHeight="1">
      <c r="B65" s="160"/>
      <c r="C65" s="161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</row>
    <row r="66" spans="3:17" s="331" customFormat="1" ht="23.25" customHeight="1">
      <c r="C66" s="331" t="s">
        <v>625</v>
      </c>
      <c r="E66" s="333">
        <f>SUM(E44:E65)</f>
        <v>26186</v>
      </c>
      <c r="F66" s="333">
        <f>SUM(F44:F65)-F54</f>
        <v>15696.96</v>
      </c>
      <c r="G66" s="333">
        <f aca="true" t="shared" si="6" ref="G66:P66">SUM(G44:G65)-G54</f>
        <v>15553.119999999999</v>
      </c>
      <c r="H66" s="333">
        <f t="shared" si="6"/>
        <v>21850.48</v>
      </c>
      <c r="I66" s="333">
        <f t="shared" si="6"/>
        <v>15121.6</v>
      </c>
      <c r="J66" s="333">
        <f t="shared" si="6"/>
        <v>15121.6</v>
      </c>
      <c r="K66" s="333">
        <f t="shared" si="6"/>
        <v>21131.28</v>
      </c>
      <c r="L66" s="333">
        <f t="shared" si="6"/>
        <v>14977.76</v>
      </c>
      <c r="M66" s="333">
        <f t="shared" si="6"/>
        <v>15696.96</v>
      </c>
      <c r="N66" s="333">
        <f t="shared" si="6"/>
        <v>20843.6</v>
      </c>
      <c r="O66" s="333">
        <f t="shared" si="6"/>
        <v>15409.28</v>
      </c>
      <c r="P66" s="333">
        <f t="shared" si="6"/>
        <v>15121.6</v>
      </c>
      <c r="Q66" s="333">
        <f>SUM(Q44:Q65)</f>
        <v>212710.24</v>
      </c>
    </row>
    <row r="67" s="327" customFormat="1" ht="9.75" customHeight="1">
      <c r="C67" s="328"/>
    </row>
    <row r="68" spans="1:31" ht="12.75">
      <c r="A68">
        <v>500</v>
      </c>
      <c r="B68" t="s">
        <v>170</v>
      </c>
      <c r="C68" s="4" t="s">
        <v>155</v>
      </c>
      <c r="D68" s="138">
        <v>30</v>
      </c>
      <c r="E68" s="201"/>
      <c r="F68" s="201">
        <f>$Q$68/10</f>
        <v>1305</v>
      </c>
      <c r="G68" s="201">
        <f aca="true" t="shared" si="7" ref="G68:O68">$Q$68/10</f>
        <v>1305</v>
      </c>
      <c r="H68" s="201">
        <f t="shared" si="7"/>
        <v>1305</v>
      </c>
      <c r="I68" s="201">
        <f t="shared" si="7"/>
        <v>1305</v>
      </c>
      <c r="J68" s="201">
        <f t="shared" si="7"/>
        <v>1305</v>
      </c>
      <c r="K68" s="201">
        <f t="shared" si="7"/>
        <v>1305</v>
      </c>
      <c r="L68" s="201">
        <f t="shared" si="7"/>
        <v>1305</v>
      </c>
      <c r="M68" s="201">
        <f t="shared" si="7"/>
        <v>1305</v>
      </c>
      <c r="N68" s="201">
        <f t="shared" si="7"/>
        <v>1305</v>
      </c>
      <c r="O68" s="201">
        <f t="shared" si="7"/>
        <v>1305</v>
      </c>
      <c r="P68" s="201"/>
      <c r="Q68" s="237">
        <f>D68*D69</f>
        <v>13050</v>
      </c>
      <c r="R68" s="4"/>
      <c r="S68" s="89"/>
      <c r="U68" s="89">
        <f>Q68</f>
        <v>13050</v>
      </c>
      <c r="V68" s="89"/>
      <c r="AE68" s="89">
        <f>Q68-S68-T68-U68-W68-Z68-AA68-AB68-AC68-AD68</f>
        <v>0</v>
      </c>
    </row>
    <row r="69" spans="2:4" ht="12.75">
      <c r="B69" t="s">
        <v>176</v>
      </c>
      <c r="C69" s="4" t="s">
        <v>157</v>
      </c>
      <c r="D69">
        <v>435</v>
      </c>
    </row>
    <row r="70" spans="2:17" ht="9.75" customHeight="1">
      <c r="B70" s="160"/>
      <c r="C70" s="161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</row>
    <row r="71" spans="1:31" ht="12.75">
      <c r="A71">
        <v>500</v>
      </c>
      <c r="B71" s="4" t="s">
        <v>10</v>
      </c>
      <c r="C71" s="164"/>
      <c r="E71" s="49"/>
      <c r="F71" s="49"/>
      <c r="G71" s="49">
        <v>3850</v>
      </c>
      <c r="H71" s="49"/>
      <c r="I71" s="49"/>
      <c r="J71" s="49">
        <v>3850</v>
      </c>
      <c r="K71" s="49"/>
      <c r="L71" s="49"/>
      <c r="M71" s="49">
        <v>3850</v>
      </c>
      <c r="N71" s="49"/>
      <c r="O71" s="49">
        <v>3850</v>
      </c>
      <c r="P71" s="49"/>
      <c r="Q71" s="263">
        <f>SUM(E71:P71)</f>
        <v>15400</v>
      </c>
      <c r="U71">
        <v>10000</v>
      </c>
      <c r="Z71" s="89"/>
      <c r="AA71">
        <v>5400</v>
      </c>
      <c r="AE71" s="89">
        <f aca="true" t="shared" si="8" ref="AE71:AE79">Q71-S71-T71-U71-W71-Z71-AA71-AB71-AC71-AD71</f>
        <v>0</v>
      </c>
    </row>
    <row r="72" spans="2:31" ht="9.75" customHeight="1" hidden="1">
      <c r="B72" s="160"/>
      <c r="C72" s="161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AE72" s="89">
        <f t="shared" si="8"/>
        <v>0</v>
      </c>
    </row>
    <row r="73" spans="3:31" ht="12.75" hidden="1">
      <c r="C73" s="4"/>
      <c r="AE73" s="89">
        <f t="shared" si="8"/>
        <v>0</v>
      </c>
    </row>
    <row r="74" spans="3:31" ht="12.75" hidden="1">
      <c r="C74" s="4"/>
      <c r="AE74" s="89">
        <f t="shared" si="8"/>
        <v>0</v>
      </c>
    </row>
    <row r="75" spans="3:31" ht="12.75" hidden="1">
      <c r="C75" s="4"/>
      <c r="AE75" s="89">
        <f t="shared" si="8"/>
        <v>0</v>
      </c>
    </row>
    <row r="76" spans="3:31" ht="12.75" hidden="1">
      <c r="C76" s="4"/>
      <c r="AE76" s="89">
        <f t="shared" si="8"/>
        <v>0</v>
      </c>
    </row>
    <row r="77" spans="3:31" ht="12.75" hidden="1">
      <c r="C77" s="4"/>
      <c r="AE77" s="89">
        <f t="shared" si="8"/>
        <v>0</v>
      </c>
    </row>
    <row r="78" spans="3:31" ht="12.75" hidden="1">
      <c r="C78" s="4"/>
      <c r="AE78" s="89">
        <f t="shared" si="8"/>
        <v>0</v>
      </c>
    </row>
    <row r="79" spans="2:31" ht="9.75" customHeight="1">
      <c r="B79" s="160"/>
      <c r="C79" s="161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AE79" s="89">
        <f t="shared" si="8"/>
        <v>0</v>
      </c>
    </row>
    <row r="80" spans="1:31" ht="12.75">
      <c r="A80">
        <v>500</v>
      </c>
      <c r="B80" s="4" t="s">
        <v>704</v>
      </c>
      <c r="C80" s="4" t="s">
        <v>158</v>
      </c>
      <c r="E80" s="113">
        <v>0</v>
      </c>
      <c r="F80" s="113">
        <v>19</v>
      </c>
      <c r="G80" s="113">
        <v>18</v>
      </c>
      <c r="H80" s="113">
        <v>22</v>
      </c>
      <c r="I80" s="113">
        <v>15</v>
      </c>
      <c r="J80" s="113">
        <v>15</v>
      </c>
      <c r="K80" s="113">
        <v>17</v>
      </c>
      <c r="L80" s="113">
        <v>14</v>
      </c>
      <c r="M80" s="113">
        <v>19</v>
      </c>
      <c r="N80" s="113">
        <v>15</v>
      </c>
      <c r="O80" s="113">
        <v>17</v>
      </c>
      <c r="P80" s="59">
        <v>20</v>
      </c>
      <c r="R80" s="4"/>
      <c r="AE80" s="89"/>
    </row>
    <row r="81" spans="2:31" ht="12.75">
      <c r="B81" s="4"/>
      <c r="C81" s="112" t="s">
        <v>268</v>
      </c>
      <c r="D81" s="113">
        <v>300</v>
      </c>
      <c r="G81">
        <v>17</v>
      </c>
      <c r="H81">
        <v>17</v>
      </c>
      <c r="I81">
        <v>11</v>
      </c>
      <c r="J81">
        <v>9</v>
      </c>
      <c r="K81">
        <v>14</v>
      </c>
      <c r="L81">
        <v>10</v>
      </c>
      <c r="M81">
        <v>15</v>
      </c>
      <c r="N81">
        <v>15</v>
      </c>
      <c r="AE81" s="89">
        <f>Q81-S81-T81-U81-W81-Z81-AA81-AB81-AC81-AD81</f>
        <v>0</v>
      </c>
    </row>
    <row r="82" spans="3:31" ht="12.75">
      <c r="C82" s="112" t="s">
        <v>269</v>
      </c>
      <c r="D82" s="113">
        <v>7</v>
      </c>
      <c r="AE82" s="89">
        <f>Q82-S82-T82-U82-W82-Z82-AA82-AB82-AC82-AD82</f>
        <v>0</v>
      </c>
    </row>
    <row r="83" spans="1:31" ht="12.75">
      <c r="A83">
        <v>500</v>
      </c>
      <c r="D83" s="193" t="s">
        <v>159</v>
      </c>
      <c r="E83" s="201">
        <f>E80*$D$81*$D$82</f>
        <v>0</v>
      </c>
      <c r="F83" s="201">
        <f aca="true" t="shared" si="9" ref="F83:O83">F80*$D$81*$D$82</f>
        <v>39900</v>
      </c>
      <c r="G83" s="201">
        <f t="shared" si="9"/>
        <v>37800</v>
      </c>
      <c r="H83" s="201">
        <f t="shared" si="9"/>
        <v>46200</v>
      </c>
      <c r="I83" s="201">
        <f t="shared" si="9"/>
        <v>31500</v>
      </c>
      <c r="J83" s="201">
        <f t="shared" si="9"/>
        <v>31500</v>
      </c>
      <c r="K83" s="201">
        <f t="shared" si="9"/>
        <v>35700</v>
      </c>
      <c r="L83" s="201">
        <f t="shared" si="9"/>
        <v>29400</v>
      </c>
      <c r="M83" s="201">
        <f t="shared" si="9"/>
        <v>39900</v>
      </c>
      <c r="N83" s="201">
        <f t="shared" si="9"/>
        <v>31500</v>
      </c>
      <c r="O83" s="201">
        <f t="shared" si="9"/>
        <v>35700</v>
      </c>
      <c r="P83" s="201">
        <f>P80*$D$81*3</f>
        <v>18000</v>
      </c>
      <c r="Q83" s="263">
        <f>SUM(E83:P83)</f>
        <v>377100</v>
      </c>
      <c r="U83" s="89">
        <f>Q83</f>
        <v>377100</v>
      </c>
      <c r="V83" s="89"/>
      <c r="AE83" s="89">
        <f>Q83-S83-T83-U83-W83-Z83-AA83-AB83-AC83-AD83</f>
        <v>0</v>
      </c>
    </row>
    <row r="84" spans="1:31" ht="12.75">
      <c r="A84">
        <v>500</v>
      </c>
      <c r="D84" s="193" t="s">
        <v>18</v>
      </c>
      <c r="E84" s="201"/>
      <c r="F84" s="201"/>
      <c r="G84" s="201">
        <f aca="true" t="shared" si="10" ref="G84:N84">G81*($D81/2)*4</f>
        <v>10200</v>
      </c>
      <c r="H84" s="201">
        <f t="shared" si="10"/>
        <v>10200</v>
      </c>
      <c r="I84" s="201">
        <f t="shared" si="10"/>
        <v>6600</v>
      </c>
      <c r="J84" s="201">
        <f t="shared" si="10"/>
        <v>5400</v>
      </c>
      <c r="K84" s="201">
        <f t="shared" si="10"/>
        <v>8400</v>
      </c>
      <c r="L84" s="201">
        <f t="shared" si="10"/>
        <v>6000</v>
      </c>
      <c r="M84" s="201">
        <f t="shared" si="10"/>
        <v>9000</v>
      </c>
      <c r="N84" s="201">
        <f t="shared" si="10"/>
        <v>9000</v>
      </c>
      <c r="O84" s="201">
        <f>O81*137.5*4</f>
        <v>0</v>
      </c>
      <c r="P84" s="201"/>
      <c r="Q84" s="263">
        <f>SUM(E84:P84)</f>
        <v>64800</v>
      </c>
      <c r="U84">
        <v>12837</v>
      </c>
      <c r="AA84" s="89">
        <f>Q84-U84</f>
        <v>51963</v>
      </c>
      <c r="AE84" s="89">
        <f>Q84-S84-T84-U84-W84-Z84-AA84-AB84-AC84-AD84</f>
        <v>0</v>
      </c>
    </row>
    <row r="85" spans="2:17" ht="9.75" customHeight="1">
      <c r="B85" s="160"/>
      <c r="C85" s="161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</row>
    <row r="86" spans="1:31" s="163" customFormat="1" ht="12" customHeight="1">
      <c r="A86" s="163">
        <v>500</v>
      </c>
      <c r="B86" s="4" t="s">
        <v>109</v>
      </c>
      <c r="C86" s="164" t="s">
        <v>168</v>
      </c>
      <c r="D86" s="163">
        <v>70</v>
      </c>
      <c r="E86" s="204">
        <v>120</v>
      </c>
      <c r="F86" s="204">
        <v>120</v>
      </c>
      <c r="G86" s="204">
        <v>120</v>
      </c>
      <c r="H86" s="204">
        <v>120</v>
      </c>
      <c r="I86" s="204">
        <v>120</v>
      </c>
      <c r="J86" s="204">
        <v>120</v>
      </c>
      <c r="K86" s="204">
        <v>120</v>
      </c>
      <c r="L86" s="204">
        <v>120</v>
      </c>
      <c r="M86" s="204">
        <v>120</v>
      </c>
      <c r="N86" s="204">
        <v>120</v>
      </c>
      <c r="O86" s="204">
        <v>120</v>
      </c>
      <c r="P86" s="204">
        <v>120</v>
      </c>
      <c r="Q86" s="237">
        <f>SUM(E86:P86)</f>
        <v>1440</v>
      </c>
      <c r="S86" s="89">
        <f>Q86</f>
        <v>1440</v>
      </c>
      <c r="AA86" s="135"/>
      <c r="AB86" s="135"/>
      <c r="AE86" s="89">
        <f>Q86-S86-T86-U86-W86-Z86-AA86-AB86-AC86-AD86</f>
        <v>0</v>
      </c>
    </row>
    <row r="87" spans="3:31" ht="12.75">
      <c r="C87" s="163" t="s">
        <v>169</v>
      </c>
      <c r="AA87" s="86"/>
      <c r="AB87" s="86"/>
      <c r="AE87" s="89">
        <f>Q87-S87-T87-U87-W87-Z87-AA87-AB87-AC87-AD87</f>
        <v>0</v>
      </c>
    </row>
    <row r="88" spans="2:31" ht="9.75" customHeight="1">
      <c r="B88" s="160"/>
      <c r="C88" s="161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AA88" s="86"/>
      <c r="AB88" s="86"/>
      <c r="AE88" s="89">
        <f>Q88-S88-T88-U88-W88-Z88-AA88-AB88-AC88-AD88</f>
        <v>0</v>
      </c>
    </row>
    <row r="89" spans="1:31" ht="12.75">
      <c r="A89">
        <v>500</v>
      </c>
      <c r="B89" s="4" t="s">
        <v>713</v>
      </c>
      <c r="E89" s="201"/>
      <c r="F89" s="345">
        <f>110*Assumptions!E3</f>
        <v>43450</v>
      </c>
      <c r="G89" s="201">
        <v>62073</v>
      </c>
      <c r="H89" s="200"/>
      <c r="I89" s="200"/>
      <c r="J89" s="200"/>
      <c r="K89" s="200"/>
      <c r="L89" s="200"/>
      <c r="M89" s="200"/>
      <c r="N89" s="200"/>
      <c r="O89" s="200"/>
      <c r="P89" s="200"/>
      <c r="Q89" s="237">
        <f>SUM(E89:P89)</f>
        <v>105523</v>
      </c>
      <c r="U89" s="89">
        <f>+Q89</f>
        <v>105523</v>
      </c>
      <c r="V89" s="89"/>
      <c r="AE89" s="89">
        <f>Q89-S89-T89-U89-W89-Z89-AA89-AB89-AC89-AD89</f>
        <v>0</v>
      </c>
    </row>
    <row r="90" spans="2:17" ht="9.75" customHeight="1">
      <c r="B90" s="160"/>
      <c r="C90" s="161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</row>
    <row r="91" spans="1:31" ht="12.75">
      <c r="A91">
        <v>500</v>
      </c>
      <c r="B91" s="4" t="s">
        <v>102</v>
      </c>
      <c r="E91" s="200"/>
      <c r="F91" s="200"/>
      <c r="G91" s="200"/>
      <c r="H91" s="200"/>
      <c r="I91" s="200"/>
      <c r="J91" s="200"/>
      <c r="K91" s="200">
        <f>361+34157-12000</f>
        <v>22518</v>
      </c>
      <c r="L91" s="200"/>
      <c r="M91" s="200"/>
      <c r="N91" s="200"/>
      <c r="O91" s="200"/>
      <c r="P91" s="200"/>
      <c r="Q91" s="237">
        <f>SUM(E91:P91)</f>
        <v>22518</v>
      </c>
      <c r="S91" s="86"/>
      <c r="U91" s="319">
        <f>+M91</f>
        <v>0</v>
      </c>
      <c r="V91" s="319"/>
      <c r="AC91">
        <f>+K91</f>
        <v>22518</v>
      </c>
      <c r="AE91" s="89">
        <f>Q91-S91-T91-U91-W91-Z91-AA91-AB91-AC91-AD91</f>
        <v>0</v>
      </c>
    </row>
    <row r="92" spans="2:17" ht="9.75" customHeight="1">
      <c r="B92" s="160"/>
      <c r="C92" s="161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</row>
    <row r="93" spans="1:31" ht="12.75">
      <c r="A93">
        <v>500</v>
      </c>
      <c r="B93" t="s">
        <v>180</v>
      </c>
      <c r="C93" t="s">
        <v>183</v>
      </c>
      <c r="E93" s="200">
        <v>495</v>
      </c>
      <c r="F93" s="200"/>
      <c r="G93" s="200"/>
      <c r="H93" s="200">
        <v>495</v>
      </c>
      <c r="I93" s="200"/>
      <c r="J93" s="200"/>
      <c r="K93" s="200">
        <v>495</v>
      </c>
      <c r="L93" s="200"/>
      <c r="M93" s="200"/>
      <c r="N93" s="200">
        <v>495</v>
      </c>
      <c r="O93" s="200"/>
      <c r="P93" s="200"/>
      <c r="Q93" s="237">
        <f>SUM(E93:P93)</f>
        <v>1980</v>
      </c>
      <c r="U93" s="89">
        <f>Q93</f>
        <v>1980</v>
      </c>
      <c r="V93" s="89"/>
      <c r="AE93" s="89">
        <f>Q93-S93-T93-U93-W93-Z93-AA93-AB93-AC93-AD93</f>
        <v>0</v>
      </c>
    </row>
    <row r="94" spans="3:31" ht="12.75">
      <c r="C94" t="s">
        <v>184</v>
      </c>
      <c r="E94" s="200">
        <v>62.5</v>
      </c>
      <c r="F94" s="200">
        <v>62.5</v>
      </c>
      <c r="G94" s="200">
        <v>62.5</v>
      </c>
      <c r="H94" s="200">
        <v>62.5</v>
      </c>
      <c r="I94" s="200">
        <v>62.5</v>
      </c>
      <c r="J94" s="200">
        <v>62.5</v>
      </c>
      <c r="K94" s="200">
        <v>62.5</v>
      </c>
      <c r="L94" s="200">
        <v>62.5</v>
      </c>
      <c r="M94" s="200">
        <v>62.5</v>
      </c>
      <c r="N94" s="200">
        <v>62.5</v>
      </c>
      <c r="O94" s="200">
        <v>62.5</v>
      </c>
      <c r="P94" s="200">
        <v>62.5</v>
      </c>
      <c r="Q94" s="237">
        <f>SUM(E94:P94)</f>
        <v>750</v>
      </c>
      <c r="U94" s="89">
        <f>Q94</f>
        <v>750</v>
      </c>
      <c r="V94" s="89"/>
      <c r="AE94" s="89">
        <f>Q94-S94-T94-U94-W94-Z94-AA94-AB94-AC94-AD94</f>
        <v>0</v>
      </c>
    </row>
    <row r="95" spans="2:17" ht="9.75" customHeight="1">
      <c r="B95" s="160"/>
      <c r="C95" s="161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</row>
    <row r="96" spans="1:31" ht="12.75">
      <c r="A96">
        <v>500</v>
      </c>
      <c r="B96" t="s">
        <v>189</v>
      </c>
      <c r="C96" t="s">
        <v>193</v>
      </c>
      <c r="E96" s="200">
        <v>110</v>
      </c>
      <c r="F96" s="200">
        <v>110</v>
      </c>
      <c r="G96" s="200">
        <v>110</v>
      </c>
      <c r="H96" s="200">
        <v>110</v>
      </c>
      <c r="I96" s="200">
        <v>110</v>
      </c>
      <c r="J96" s="200">
        <v>110</v>
      </c>
      <c r="K96" s="200">
        <v>110</v>
      </c>
      <c r="L96" s="200">
        <v>110</v>
      </c>
      <c r="M96" s="200">
        <v>110</v>
      </c>
      <c r="N96" s="200">
        <v>110</v>
      </c>
      <c r="O96" s="200">
        <v>110</v>
      </c>
      <c r="P96" s="200">
        <v>110</v>
      </c>
      <c r="Q96" s="237">
        <f>SUM(E96:P96)</f>
        <v>1320</v>
      </c>
      <c r="U96" s="89">
        <f>Q96</f>
        <v>1320</v>
      </c>
      <c r="V96" s="89"/>
      <c r="AE96" s="89">
        <f>Q96-S96-T96-U96-W96-Z96-AA96-AB96-AC96-AD96</f>
        <v>0</v>
      </c>
    </row>
    <row r="97" spans="2:17" ht="9.75" customHeight="1">
      <c r="B97" s="160"/>
      <c r="C97" s="161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</row>
    <row r="98" spans="1:31" ht="12.75">
      <c r="A98">
        <v>500</v>
      </c>
      <c r="B98" s="4" t="s">
        <v>189</v>
      </c>
      <c r="C98" s="4" t="s">
        <v>660</v>
      </c>
      <c r="E98" s="200">
        <v>35</v>
      </c>
      <c r="F98" s="200">
        <v>35</v>
      </c>
      <c r="G98" s="200">
        <v>35</v>
      </c>
      <c r="H98" s="200">
        <v>35</v>
      </c>
      <c r="I98" s="200">
        <v>35</v>
      </c>
      <c r="J98" s="200">
        <v>35</v>
      </c>
      <c r="K98" s="200">
        <v>35</v>
      </c>
      <c r="L98" s="200">
        <v>35</v>
      </c>
      <c r="M98" s="200">
        <v>35</v>
      </c>
      <c r="N98" s="200">
        <v>35</v>
      </c>
      <c r="O98" s="200">
        <v>35</v>
      </c>
      <c r="P98" s="200">
        <v>35</v>
      </c>
      <c r="Q98" s="237">
        <f>SUM(E98:P98)</f>
        <v>420</v>
      </c>
      <c r="U98" s="89">
        <f>Q98</f>
        <v>420</v>
      </c>
      <c r="V98" s="89"/>
      <c r="AE98" s="89">
        <f>Q98-S98-T98-U98-W98-Z98-AA98-AB98-AC98-AD98</f>
        <v>0</v>
      </c>
    </row>
    <row r="99" spans="3:31" ht="12.75">
      <c r="C99" s="164" t="s">
        <v>110</v>
      </c>
      <c r="AE99" s="89">
        <f>Q99-S99-T99-U99-W99-Z99-AA99-AB99-AC99-AD99</f>
        <v>0</v>
      </c>
    </row>
    <row r="100" spans="2:31" ht="9.75" customHeight="1">
      <c r="B100" s="160"/>
      <c r="C100" s="161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AE100" s="89">
        <f>Q100-S100-T100-U100-W100-Z100-AA100-AB100-AC100-AD100</f>
        <v>0</v>
      </c>
    </row>
    <row r="101" spans="3:31" s="331" customFormat="1" ht="15" customHeight="1">
      <c r="C101" s="331" t="s">
        <v>626</v>
      </c>
      <c r="E101" s="332">
        <f>SUM(E68:E100)-(E80+E81)</f>
        <v>822.5</v>
      </c>
      <c r="F101" s="332">
        <f aca="true" t="shared" si="11" ref="F101:P101">SUM(F68:F100)-(F80+F81)</f>
        <v>84982.5</v>
      </c>
      <c r="G101" s="332">
        <f t="shared" si="11"/>
        <v>115555.5</v>
      </c>
      <c r="H101" s="332">
        <f t="shared" si="11"/>
        <v>58527.5</v>
      </c>
      <c r="I101" s="332">
        <f t="shared" si="11"/>
        <v>39732.5</v>
      </c>
      <c r="J101" s="332">
        <f t="shared" si="11"/>
        <v>42382.5</v>
      </c>
      <c r="K101" s="332">
        <f t="shared" si="11"/>
        <v>68745.5</v>
      </c>
      <c r="L101" s="332">
        <f t="shared" si="11"/>
        <v>37032.5</v>
      </c>
      <c r="M101" s="332">
        <f t="shared" si="11"/>
        <v>54382.5</v>
      </c>
      <c r="N101" s="332">
        <f t="shared" si="11"/>
        <v>42627.5</v>
      </c>
      <c r="O101" s="332">
        <f t="shared" si="11"/>
        <v>41182.5</v>
      </c>
      <c r="P101" s="332">
        <f t="shared" si="11"/>
        <v>18327.5</v>
      </c>
      <c r="Q101" s="237">
        <f>SUM(E101:P101)</f>
        <v>604301</v>
      </c>
      <c r="AE101" s="244"/>
    </row>
    <row r="102" spans="3:31" s="327" customFormat="1" ht="9.75" customHeight="1">
      <c r="C102" s="328"/>
      <c r="AE102" s="334"/>
    </row>
    <row r="103" spans="1:31" s="163" customFormat="1" ht="13.5" customHeight="1">
      <c r="A103" s="163">
        <v>600</v>
      </c>
      <c r="B103" s="164" t="s">
        <v>690</v>
      </c>
      <c r="C103" s="164"/>
      <c r="E103" s="204">
        <v>5500</v>
      </c>
      <c r="F103" s="204">
        <v>4500</v>
      </c>
      <c r="G103" s="204">
        <v>5400</v>
      </c>
      <c r="H103" s="204">
        <v>5394</v>
      </c>
      <c r="I103" s="204">
        <v>3463</v>
      </c>
      <c r="J103" s="204">
        <v>2873</v>
      </c>
      <c r="K103" s="204">
        <v>3170</v>
      </c>
      <c r="L103" s="204">
        <v>4082</v>
      </c>
      <c r="M103" s="204">
        <v>3508</v>
      </c>
      <c r="N103" s="204">
        <v>3436</v>
      </c>
      <c r="O103" s="204">
        <v>4472</v>
      </c>
      <c r="P103" s="204">
        <v>4900</v>
      </c>
      <c r="Q103" s="237">
        <f aca="true" t="shared" si="12" ref="Q103:Q108">SUM(E103:P103)</f>
        <v>50698</v>
      </c>
      <c r="V103" s="229">
        <f>+Q103</f>
        <v>50698</v>
      </c>
      <c r="AE103" s="89">
        <f>Q103-S103-T103-U103-W103-Z103-AA103-AB103-AC103-AD103-V103</f>
        <v>0</v>
      </c>
    </row>
    <row r="104" spans="2:31" s="163" customFormat="1" ht="13.5" customHeight="1">
      <c r="B104" s="164" t="s">
        <v>701</v>
      </c>
      <c r="C104" s="164"/>
      <c r="E104" s="163">
        <v>5000</v>
      </c>
      <c r="Q104" s="237">
        <f t="shared" si="12"/>
        <v>5000</v>
      </c>
      <c r="V104" s="229">
        <f>+Q104</f>
        <v>5000</v>
      </c>
      <c r="AE104" s="89">
        <f>Q104-S104-T104-U104-W104-Z104-AA104-AB104-AC104-AD104-V104</f>
        <v>0</v>
      </c>
    </row>
    <row r="105" spans="2:31" s="163" customFormat="1" ht="13.5" customHeight="1">
      <c r="B105" s="164" t="s">
        <v>703</v>
      </c>
      <c r="C105" s="164"/>
      <c r="Q105" s="237">
        <f t="shared" si="12"/>
        <v>0</v>
      </c>
      <c r="V105" s="229">
        <f>+Q105</f>
        <v>0</v>
      </c>
      <c r="AE105" s="89">
        <f>Q105-S105-T105-U105-W105-Z105-AA105-AB105-AC105-AD105-V105</f>
        <v>0</v>
      </c>
    </row>
    <row r="106" spans="3:31" s="163" customFormat="1" ht="13.5" customHeight="1" hidden="1">
      <c r="C106" s="164"/>
      <c r="Q106" s="237">
        <f t="shared" si="12"/>
        <v>0</v>
      </c>
      <c r="AE106" s="89">
        <f>Q106-S106-T106-U106-W106-Z106-AA106-AB106-AC106-AD106</f>
        <v>0</v>
      </c>
    </row>
    <row r="107" spans="3:31" s="163" customFormat="1" ht="13.5" customHeight="1" hidden="1">
      <c r="C107" s="164"/>
      <c r="Q107" s="237">
        <f t="shared" si="12"/>
        <v>0</v>
      </c>
      <c r="AE107" s="89">
        <f>Q107-S107-T107-U107-W107-Z107-AA107-AB107-AC107-AD107</f>
        <v>0</v>
      </c>
    </row>
    <row r="108" spans="3:31" s="163" customFormat="1" ht="13.5" customHeight="1" hidden="1">
      <c r="C108" s="164"/>
      <c r="Q108" s="237">
        <f t="shared" si="12"/>
        <v>0</v>
      </c>
      <c r="AE108" s="89">
        <f>Q108-S108-T108-U108-W108-Z108-AA108-AB108-AC108-AD108</f>
        <v>0</v>
      </c>
    </row>
    <row r="109" spans="3:31" s="331" customFormat="1" ht="13.5" customHeight="1">
      <c r="C109" s="331" t="s">
        <v>692</v>
      </c>
      <c r="E109" s="19">
        <f>SUM(E103:E108)</f>
        <v>10500</v>
      </c>
      <c r="F109" s="19">
        <f aca="true" t="shared" si="13" ref="F109:P109">SUM(F103:F108)</f>
        <v>4500</v>
      </c>
      <c r="G109" s="19">
        <f t="shared" si="13"/>
        <v>5400</v>
      </c>
      <c r="H109" s="19">
        <f t="shared" si="13"/>
        <v>5394</v>
      </c>
      <c r="I109" s="19">
        <f t="shared" si="13"/>
        <v>3463</v>
      </c>
      <c r="J109" s="19">
        <f t="shared" si="13"/>
        <v>2873</v>
      </c>
      <c r="K109" s="19">
        <f t="shared" si="13"/>
        <v>3170</v>
      </c>
      <c r="L109" s="19">
        <f t="shared" si="13"/>
        <v>4082</v>
      </c>
      <c r="M109" s="19">
        <f t="shared" si="13"/>
        <v>3508</v>
      </c>
      <c r="N109" s="19">
        <f t="shared" si="13"/>
        <v>3436</v>
      </c>
      <c r="O109" s="19">
        <f t="shared" si="13"/>
        <v>4472</v>
      </c>
      <c r="P109" s="19">
        <f t="shared" si="13"/>
        <v>4900</v>
      </c>
      <c r="Q109" s="333">
        <f>SUM(Q103:Q108)</f>
        <v>55698</v>
      </c>
      <c r="AE109" s="243"/>
    </row>
    <row r="110" s="335" customFormat="1" ht="13.5" customHeight="1">
      <c r="AE110" s="336"/>
    </row>
    <row r="111" spans="4:31" s="134" customFormat="1" ht="13.5" thickBot="1">
      <c r="D111" s="52" t="s">
        <v>150</v>
      </c>
      <c r="E111" s="199">
        <f aca="true" t="shared" si="14" ref="E111:P111">+E109+E101+E66+E42</f>
        <v>57299.479999999996</v>
      </c>
      <c r="F111" s="199">
        <f t="shared" si="14"/>
        <v>129370.43999999999</v>
      </c>
      <c r="G111" s="199">
        <f t="shared" si="14"/>
        <v>174409.59999999998</v>
      </c>
      <c r="H111" s="199">
        <f t="shared" si="14"/>
        <v>104462.95999999999</v>
      </c>
      <c r="I111" s="199">
        <f t="shared" si="14"/>
        <v>100218.07999999999</v>
      </c>
      <c r="J111" s="199">
        <f t="shared" si="14"/>
        <v>77818.08</v>
      </c>
      <c r="K111" s="199">
        <f t="shared" si="14"/>
        <v>110743.78</v>
      </c>
      <c r="L111" s="199">
        <f t="shared" si="14"/>
        <v>65809.26000000001</v>
      </c>
      <c r="M111" s="199">
        <f t="shared" si="14"/>
        <v>91804.45999999999</v>
      </c>
      <c r="N111" s="199">
        <f t="shared" si="14"/>
        <v>99124.1</v>
      </c>
      <c r="O111" s="199">
        <f t="shared" si="14"/>
        <v>71030.78</v>
      </c>
      <c r="P111" s="199">
        <f t="shared" si="14"/>
        <v>45066.1</v>
      </c>
      <c r="Q111" s="199">
        <f>SUM(E111:P111)</f>
        <v>1127157.1199999999</v>
      </c>
      <c r="R111" s="244">
        <f>SUM(S111:AD111)</f>
        <v>1127157.12</v>
      </c>
      <c r="S111" s="243">
        <f>SUM(S4:S109)</f>
        <v>220548.12</v>
      </c>
      <c r="T111" s="243">
        <f aca="true" t="shared" si="15" ref="T111:AD111">SUM(T4:T109)</f>
        <v>159532</v>
      </c>
      <c r="U111" s="243">
        <f t="shared" si="15"/>
        <v>549404</v>
      </c>
      <c r="V111" s="243">
        <f t="shared" si="15"/>
        <v>55698</v>
      </c>
      <c r="W111" s="243">
        <f t="shared" si="15"/>
        <v>11215</v>
      </c>
      <c r="X111" s="243">
        <f>SUM(X4:X109)</f>
        <v>0</v>
      </c>
      <c r="Y111" s="243">
        <f>SUM(Y4:Y109)</f>
        <v>0</v>
      </c>
      <c r="Z111" s="243">
        <f t="shared" si="15"/>
        <v>50379</v>
      </c>
      <c r="AA111" s="243">
        <f t="shared" si="15"/>
        <v>57363</v>
      </c>
      <c r="AB111" s="243">
        <f t="shared" si="15"/>
        <v>500</v>
      </c>
      <c r="AC111" s="243">
        <f t="shared" si="15"/>
        <v>22518</v>
      </c>
      <c r="AD111" s="243">
        <f t="shared" si="15"/>
        <v>0</v>
      </c>
      <c r="AE111" s="86">
        <f>SUM(S111:AD111)</f>
        <v>1127157.12</v>
      </c>
    </row>
    <row r="112" spans="16:31" ht="13.5" thickTop="1">
      <c r="P112" s="89"/>
      <c r="Y112" s="229"/>
      <c r="AE112" s="99">
        <v>1.1641532182693481E-10</v>
      </c>
    </row>
    <row r="113" spans="2:18" ht="12.75">
      <c r="B113" s="4"/>
      <c r="C113" s="99"/>
      <c r="Q113" s="89"/>
      <c r="R113" s="89">
        <f>R111-Q111</f>
        <v>0</v>
      </c>
    </row>
    <row r="114" spans="2:20" ht="12.75">
      <c r="B114" s="4"/>
      <c r="C114" s="99"/>
      <c r="I114" s="89"/>
      <c r="J114" s="89"/>
      <c r="K114" s="89"/>
      <c r="L114" s="89"/>
      <c r="M114" s="89"/>
      <c r="N114" s="89"/>
      <c r="O114" s="89"/>
      <c r="P114" s="89"/>
      <c r="R114" s="4" t="s">
        <v>624</v>
      </c>
      <c r="S114" s="86">
        <f>+S111+Z111+W111+AB111</f>
        <v>282642.12</v>
      </c>
      <c r="T114" s="89">
        <f>+S111+W111+Z111+AB111</f>
        <v>282642.12</v>
      </c>
    </row>
    <row r="115" spans="2:19" ht="12.75">
      <c r="B115" s="4"/>
      <c r="C115" s="99"/>
      <c r="R115" s="4" t="s">
        <v>625</v>
      </c>
      <c r="S115" s="89">
        <f>+T111</f>
        <v>159532</v>
      </c>
    </row>
    <row r="116" spans="2:20" ht="12.75">
      <c r="B116" s="4"/>
      <c r="C116" s="99"/>
      <c r="R116" s="4" t="s">
        <v>626</v>
      </c>
      <c r="S116" s="89">
        <f>+U111+AA111+AC111+AD111+X111</f>
        <v>629285</v>
      </c>
      <c r="T116" s="89">
        <f>+U111+X111+AA111+AC111+AD111</f>
        <v>629285</v>
      </c>
    </row>
    <row r="117" spans="2:19" ht="12.75">
      <c r="B117" s="4"/>
      <c r="C117" s="99"/>
      <c r="R117" s="4" t="s">
        <v>692</v>
      </c>
      <c r="S117" s="89">
        <f>+V111+Y111</f>
        <v>55698</v>
      </c>
    </row>
    <row r="118" spans="3:19" ht="12.75">
      <c r="C118" s="99"/>
      <c r="S118" s="89">
        <f>SUM(S114:S117)</f>
        <v>1127157.12</v>
      </c>
    </row>
    <row r="119" spans="3:19" ht="12.75">
      <c r="C119" s="99"/>
      <c r="S119" s="89">
        <f>+S118-Q111</f>
        <v>0</v>
      </c>
    </row>
    <row r="120" ht="12.75">
      <c r="C120" s="99"/>
    </row>
  </sheetData>
  <sheetProtection/>
  <printOptions horizontalCentered="1"/>
  <pageMargins left="0.32" right="0.3" top="0.93" bottom="0.93" header="0.3" footer="0.3"/>
  <pageSetup horizontalDpi="600" verticalDpi="600" orientation="landscape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92D050"/>
  </sheetPr>
  <dimension ref="A1:L41"/>
  <sheetViews>
    <sheetView zoomScalePageLayoutView="0" workbookViewId="0" topLeftCell="A1">
      <selection activeCell="E4" sqref="E4"/>
    </sheetView>
  </sheetViews>
  <sheetFormatPr defaultColWidth="8.8515625" defaultRowHeight="12.75"/>
  <cols>
    <col min="1" max="1" width="19.7109375" style="0" customWidth="1"/>
    <col min="2" max="2" width="10.28125" style="99" bestFit="1" customWidth="1"/>
    <col min="3" max="5" width="12.8515625" style="0" bestFit="1" customWidth="1"/>
    <col min="6" max="6" width="10.140625" style="0" customWidth="1"/>
    <col min="7" max="7" width="5.7109375" style="0" customWidth="1"/>
    <col min="8" max="8" width="15.421875" style="0" customWidth="1"/>
    <col min="9" max="9" width="13.140625" style="0" customWidth="1"/>
    <col min="10" max="10" width="9.28125" style="0" customWidth="1"/>
    <col min="11" max="11" width="15.57421875" style="0" customWidth="1"/>
  </cols>
  <sheetData>
    <row r="1" spans="3:10" ht="12.75">
      <c r="C1" s="351" t="s">
        <v>267</v>
      </c>
      <c r="D1" s="352"/>
      <c r="E1" s="353"/>
      <c r="H1" s="354" t="s">
        <v>616</v>
      </c>
      <c r="I1" s="355"/>
      <c r="J1" s="356"/>
    </row>
    <row r="2" spans="3:10" ht="38.25">
      <c r="C2" s="220" t="s">
        <v>0</v>
      </c>
      <c r="D2" s="220" t="s">
        <v>672</v>
      </c>
      <c r="E2" s="221" t="s">
        <v>673</v>
      </c>
      <c r="H2" s="287" t="s">
        <v>670</v>
      </c>
      <c r="J2" s="137" t="s">
        <v>615</v>
      </c>
    </row>
    <row r="3" spans="2:8" ht="12.75">
      <c r="B3" s="99" t="s">
        <v>506</v>
      </c>
      <c r="C3" s="126">
        <v>402</v>
      </c>
      <c r="D3" s="126">
        <v>395</v>
      </c>
      <c r="E3" s="126">
        <v>395</v>
      </c>
      <c r="H3" s="286">
        <v>400</v>
      </c>
    </row>
    <row r="4" spans="2:8" ht="12.75">
      <c r="B4" s="99" t="s">
        <v>243</v>
      </c>
      <c r="C4" s="126">
        <v>28</v>
      </c>
      <c r="D4" s="126">
        <v>28</v>
      </c>
      <c r="E4" s="126">
        <v>28</v>
      </c>
      <c r="H4" s="286">
        <v>24</v>
      </c>
    </row>
    <row r="5" ht="12.75">
      <c r="F5" s="120"/>
    </row>
    <row r="6" spans="1:10" ht="12.75">
      <c r="A6" s="134" t="s">
        <v>612</v>
      </c>
      <c r="B6" s="124">
        <v>2327</v>
      </c>
      <c r="C6" s="125">
        <f>$B$6*C3</f>
        <v>935454</v>
      </c>
      <c r="D6" s="125">
        <f>$B$6*D3</f>
        <v>919165</v>
      </c>
      <c r="E6" s="125">
        <f>$B$6*E3</f>
        <v>919165</v>
      </c>
      <c r="F6" s="89"/>
      <c r="H6" s="86">
        <f>934330-7775-11383</f>
        <v>915172</v>
      </c>
      <c r="J6" s="89">
        <f>E6-H6</f>
        <v>3993</v>
      </c>
    </row>
    <row r="7" spans="1:10" ht="12.75">
      <c r="A7" s="134" t="s">
        <v>611</v>
      </c>
      <c r="B7" s="124">
        <v>600</v>
      </c>
      <c r="C7" s="125">
        <f>$B$7*C3</f>
        <v>241200</v>
      </c>
      <c r="D7" s="125">
        <f>$B$7*D3</f>
        <v>237000</v>
      </c>
      <c r="E7" s="125">
        <f>$B$7*E3</f>
        <v>237000</v>
      </c>
      <c r="F7" s="89"/>
      <c r="H7" s="86">
        <v>241287</v>
      </c>
      <c r="I7" s="88" t="s">
        <v>677</v>
      </c>
      <c r="J7" s="89">
        <f>E7-H7</f>
        <v>-4287</v>
      </c>
    </row>
    <row r="8" spans="1:10" ht="12.75">
      <c r="A8" s="134" t="s">
        <v>243</v>
      </c>
      <c r="B8" s="124">
        <v>8000</v>
      </c>
      <c r="C8" s="125">
        <f>$B$8*C4</f>
        <v>224000</v>
      </c>
      <c r="D8" s="125">
        <f>$B$8*D4</f>
        <v>224000</v>
      </c>
      <c r="E8" s="125">
        <f>$B$8*E4</f>
        <v>224000</v>
      </c>
      <c r="F8" s="89"/>
      <c r="H8" s="86">
        <v>214634</v>
      </c>
      <c r="I8" s="88" t="s">
        <v>676</v>
      </c>
      <c r="J8" s="89">
        <f>E8-H8</f>
        <v>9366</v>
      </c>
    </row>
    <row r="9" spans="1:10" ht="12.75">
      <c r="A9" s="134" t="s">
        <v>613</v>
      </c>
      <c r="B9" s="124"/>
      <c r="C9" s="284">
        <f>SUM(C6:C8)</f>
        <v>1400654</v>
      </c>
      <c r="D9" s="284">
        <f>SUM(D6:D8)</f>
        <v>1380165</v>
      </c>
      <c r="E9" s="284">
        <f>SUM(E6:E8)</f>
        <v>1380165</v>
      </c>
      <c r="F9" s="89"/>
      <c r="H9" s="284">
        <f>SUM(H6:H8)</f>
        <v>1371093</v>
      </c>
      <c r="J9" s="284">
        <f>SUM(J6:J8)</f>
        <v>9072</v>
      </c>
    </row>
    <row r="10" spans="1:10" ht="12.75">
      <c r="A10" t="s">
        <v>145</v>
      </c>
      <c r="B10" s="114"/>
      <c r="C10" s="123">
        <f>-C9*0.02</f>
        <v>-28013.08</v>
      </c>
      <c r="D10" s="123">
        <f>-D9*0.02</f>
        <v>-27603.3</v>
      </c>
      <c r="E10" s="123">
        <f>-E9*0.02</f>
        <v>-27603.3</v>
      </c>
      <c r="H10" s="89">
        <v>-27650</v>
      </c>
      <c r="J10" s="89">
        <f>E10-H10</f>
        <v>46.70000000000073</v>
      </c>
    </row>
    <row r="11" spans="1:10" ht="12.75">
      <c r="A11" t="s">
        <v>146</v>
      </c>
      <c r="C11" s="89">
        <f>SUM(C9:C10)</f>
        <v>1372640.92</v>
      </c>
      <c r="D11" s="89">
        <f>SUM(D9:D10)</f>
        <v>1352561.7</v>
      </c>
      <c r="E11" s="89">
        <f>SUM(E9:E10)</f>
        <v>1352561.7</v>
      </c>
      <c r="H11" s="284">
        <f>SUM(H9:H10)</f>
        <v>1343443</v>
      </c>
      <c r="J11" s="284">
        <f>SUM(J9:J10)</f>
        <v>9118.7</v>
      </c>
    </row>
    <row r="12" spans="1:5" ht="12.75">
      <c r="A12" t="s">
        <v>147</v>
      </c>
      <c r="C12" s="89">
        <f>C11/12</f>
        <v>114386.74333333333</v>
      </c>
      <c r="D12" s="89">
        <f>D11/12</f>
        <v>112713.47499999999</v>
      </c>
      <c r="E12" s="89">
        <f>E11/12</f>
        <v>112713.47499999999</v>
      </c>
    </row>
    <row r="13" spans="3:5" ht="7.5" customHeight="1">
      <c r="C13" s="89"/>
      <c r="D13" s="89"/>
      <c r="E13" s="89"/>
    </row>
    <row r="14" spans="1:6" ht="12.75">
      <c r="A14" s="4" t="s">
        <v>151</v>
      </c>
      <c r="C14" s="89"/>
      <c r="D14" s="89">
        <f>(D11-C11)/12*5</f>
        <v>-8366.341666666654</v>
      </c>
      <c r="E14" s="89">
        <f>((E11-D11)/12*7)*0.5</f>
        <v>0</v>
      </c>
      <c r="F14" s="122"/>
    </row>
    <row r="15" spans="1:5" ht="12.75">
      <c r="A15" s="4" t="s">
        <v>152</v>
      </c>
      <c r="C15" s="89"/>
      <c r="D15" s="89">
        <f>D14/7</f>
        <v>-1195.191666666665</v>
      </c>
      <c r="E15" s="280">
        <f>E14/4</f>
        <v>0</v>
      </c>
    </row>
    <row r="16" spans="3:5" ht="9" customHeight="1">
      <c r="C16" s="89"/>
      <c r="D16" s="89"/>
      <c r="E16" s="89"/>
    </row>
    <row r="17" spans="1:5" s="128" customFormat="1" ht="12.75">
      <c r="A17" s="129" t="s">
        <v>153</v>
      </c>
      <c r="B17" s="130"/>
      <c r="C17" s="206">
        <f>C12</f>
        <v>114386.74333333333</v>
      </c>
      <c r="D17" s="206">
        <f>D12+D15</f>
        <v>111518.28333333333</v>
      </c>
      <c r="E17" s="206">
        <f>E12+D15+E15</f>
        <v>111518.28333333333</v>
      </c>
    </row>
    <row r="18" spans="1:5" ht="12.75">
      <c r="A18" s="131"/>
      <c r="B18" s="132"/>
      <c r="C18" s="133"/>
      <c r="D18" s="131"/>
      <c r="E18" s="131"/>
    </row>
    <row r="19" spans="1:10" ht="12.75">
      <c r="A19" s="134" t="s">
        <v>242</v>
      </c>
      <c r="B19" s="99">
        <v>4103</v>
      </c>
      <c r="C19" s="89">
        <f>$B$19*C3</f>
        <v>1649406</v>
      </c>
      <c r="D19" s="89">
        <f>$B$19*D3</f>
        <v>1620685</v>
      </c>
      <c r="E19" s="89">
        <f>$B$19*E3</f>
        <v>1620685</v>
      </c>
      <c r="H19" s="86">
        <f>1689606-10508-12309</f>
        <v>1666789</v>
      </c>
      <c r="I19" s="136"/>
      <c r="J19" s="89">
        <f>E19-H19</f>
        <v>-46104</v>
      </c>
    </row>
    <row r="20" spans="1:10" ht="12.75">
      <c r="A20" t="s">
        <v>145</v>
      </c>
      <c r="C20" s="123">
        <f>-C19*0.02</f>
        <v>-32988.12</v>
      </c>
      <c r="D20" s="123">
        <f>-D19*0.02</f>
        <v>-32413.7</v>
      </c>
      <c r="E20" s="123">
        <f>-E19*0.02</f>
        <v>-32413.7</v>
      </c>
      <c r="F20" s="89"/>
      <c r="H20" s="86">
        <v>-33582</v>
      </c>
      <c r="J20" s="89">
        <f>E20-H20</f>
        <v>1168.2999999999993</v>
      </c>
    </row>
    <row r="21" spans="1:10" ht="12.75">
      <c r="A21" t="s">
        <v>148</v>
      </c>
      <c r="C21" s="89">
        <f>SUM(C19:C20)</f>
        <v>1616417.88</v>
      </c>
      <c r="D21" s="89">
        <f>SUM(D19:D20)</f>
        <v>1588271.3</v>
      </c>
      <c r="E21" s="89">
        <f>SUM(E19:E20)</f>
        <v>1588271.3</v>
      </c>
      <c r="F21" s="89"/>
      <c r="H21" s="284">
        <f>SUM(H19:H20)</f>
        <v>1633207</v>
      </c>
      <c r="J21" s="284">
        <f>SUM(J19:J20)</f>
        <v>-44935.7</v>
      </c>
    </row>
    <row r="22" spans="1:5" ht="12.75">
      <c r="A22" t="s">
        <v>147</v>
      </c>
      <c r="C22" s="89">
        <f>C21/12</f>
        <v>134701.49</v>
      </c>
      <c r="D22" s="89">
        <f>D21/12</f>
        <v>132355.94166666668</v>
      </c>
      <c r="E22" s="89">
        <f>E21/12</f>
        <v>132355.94166666668</v>
      </c>
    </row>
    <row r="23" spans="3:5" ht="12.75">
      <c r="C23" s="89"/>
      <c r="D23" s="89"/>
      <c r="E23" s="89"/>
    </row>
    <row r="24" spans="1:6" ht="12.75">
      <c r="A24" s="4" t="s">
        <v>151</v>
      </c>
      <c r="C24" s="89"/>
      <c r="D24" s="89">
        <f>(D21-C21)/12*5</f>
        <v>-11727.7416666666</v>
      </c>
      <c r="E24" s="89">
        <f>((E21-D21)/12*7)*0.5</f>
        <v>0</v>
      </c>
      <c r="F24" s="122"/>
    </row>
    <row r="25" spans="1:5" ht="12.75">
      <c r="A25" s="4" t="s">
        <v>152</v>
      </c>
      <c r="C25" s="89"/>
      <c r="D25" s="89">
        <f>D24/7</f>
        <v>-1675.391666666657</v>
      </c>
      <c r="E25" s="280">
        <f>E24/4</f>
        <v>0</v>
      </c>
    </row>
    <row r="26" spans="1:5" ht="12.75">
      <c r="A26" s="4"/>
      <c r="C26" s="89"/>
      <c r="D26" s="89"/>
      <c r="E26" s="89"/>
    </row>
    <row r="27" spans="1:5" ht="12.75">
      <c r="A27" s="129" t="s">
        <v>154</v>
      </c>
      <c r="C27" s="206">
        <f>C22</f>
        <v>134701.49</v>
      </c>
      <c r="D27" s="206">
        <f>D22+D25</f>
        <v>130680.55000000002</v>
      </c>
      <c r="E27" s="206">
        <f>E22+E25+D25</f>
        <v>130680.55000000002</v>
      </c>
    </row>
    <row r="28" spans="3:5" ht="12.75">
      <c r="C28" s="89"/>
      <c r="D28" s="89"/>
      <c r="E28" s="89"/>
    </row>
    <row r="29" spans="1:12" ht="12.75">
      <c r="A29" t="s">
        <v>149</v>
      </c>
      <c r="C29" s="89">
        <f>C11+C21</f>
        <v>2989058.8</v>
      </c>
      <c r="D29" s="89">
        <f>D11+D21</f>
        <v>2940833</v>
      </c>
      <c r="E29" s="89">
        <f>E11+E21</f>
        <v>2940833</v>
      </c>
      <c r="F29" s="86"/>
      <c r="G29" s="285" t="s">
        <v>348</v>
      </c>
      <c r="H29" s="89">
        <f>H11+H21</f>
        <v>2976650</v>
      </c>
      <c r="J29" s="89">
        <f>J11+J21</f>
        <v>-35817</v>
      </c>
      <c r="L29" s="89"/>
    </row>
    <row r="30" spans="1:9" ht="12.75">
      <c r="A30" t="s">
        <v>678</v>
      </c>
      <c r="C30" s="89">
        <f>C29/12</f>
        <v>249088.2333333333</v>
      </c>
      <c r="D30" s="89">
        <f>D17+D27</f>
        <v>242198.83333333334</v>
      </c>
      <c r="E30" s="89">
        <f>E17+E27</f>
        <v>242198.83333333334</v>
      </c>
      <c r="F30" s="86">
        <f>(C30*5)+(D30*3)+(E30*4)</f>
        <v>2940833</v>
      </c>
      <c r="G30" s="89">
        <f>E29-F30</f>
        <v>0</v>
      </c>
      <c r="H30" s="99">
        <v>-994</v>
      </c>
      <c r="I30" s="136" t="s">
        <v>614</v>
      </c>
    </row>
    <row r="31" spans="3:11" ht="12.75">
      <c r="C31" s="127" t="s">
        <v>679</v>
      </c>
      <c r="D31" s="127" t="s">
        <v>680</v>
      </c>
      <c r="E31" s="127" t="s">
        <v>681</v>
      </c>
      <c r="G31" s="99"/>
      <c r="H31" s="89">
        <f>SUM(H29:H30)</f>
        <v>2975656</v>
      </c>
      <c r="J31" s="89"/>
      <c r="K31" s="4"/>
    </row>
    <row r="32" ht="12.75">
      <c r="E32">
        <v>0</v>
      </c>
    </row>
    <row r="33" spans="1:7" ht="12.75" hidden="1">
      <c r="A33" s="139"/>
      <c r="B33" s="140"/>
      <c r="C33" s="141"/>
      <c r="D33" s="141"/>
      <c r="E33" s="141"/>
      <c r="F33" s="141"/>
      <c r="G33" s="142"/>
    </row>
    <row r="34" spans="1:7" ht="12.75" hidden="1">
      <c r="A34" s="357" t="s">
        <v>272</v>
      </c>
      <c r="B34" s="358"/>
      <c r="C34" s="113"/>
      <c r="D34" s="113" t="s">
        <v>630</v>
      </c>
      <c r="E34" s="113"/>
      <c r="F34" s="113"/>
      <c r="G34" s="143"/>
    </row>
    <row r="35" spans="1:7" ht="25.5" hidden="1">
      <c r="A35" s="144"/>
      <c r="B35" s="222" t="s">
        <v>9</v>
      </c>
      <c r="C35" s="113"/>
      <c r="D35" s="113"/>
      <c r="E35" s="113"/>
      <c r="F35" s="113"/>
      <c r="G35" s="143"/>
    </row>
    <row r="36" spans="1:7" ht="12.75" hidden="1">
      <c r="A36" s="144" t="s">
        <v>273</v>
      </c>
      <c r="B36" s="322">
        <v>413.27</v>
      </c>
      <c r="D36" s="324"/>
      <c r="E36" s="325" t="s">
        <v>675</v>
      </c>
      <c r="F36" s="113"/>
      <c r="G36" s="143"/>
    </row>
    <row r="37" spans="1:7" ht="12.75" hidden="1">
      <c r="A37" s="144" t="s">
        <v>274</v>
      </c>
      <c r="B37" s="322">
        <v>826.55</v>
      </c>
      <c r="D37" s="324"/>
      <c r="F37" s="113"/>
      <c r="G37" s="143"/>
    </row>
    <row r="38" spans="1:7" ht="12.75" hidden="1">
      <c r="A38" s="144" t="s">
        <v>275</v>
      </c>
      <c r="B38" s="322">
        <v>764.56</v>
      </c>
      <c r="D38" s="324"/>
      <c r="F38" s="113"/>
      <c r="G38" s="143"/>
    </row>
    <row r="39" spans="1:7" ht="12.75" hidden="1">
      <c r="A39" s="144" t="s">
        <v>276</v>
      </c>
      <c r="B39" s="323">
        <v>1177.84</v>
      </c>
      <c r="D39" s="324"/>
      <c r="F39" s="113"/>
      <c r="G39" s="143"/>
    </row>
    <row r="40" spans="1:7" ht="12.75" hidden="1">
      <c r="A40" s="144"/>
      <c r="B40" s="112">
        <f>SUM(B36:B39)</f>
        <v>3182.22</v>
      </c>
      <c r="C40" s="113"/>
      <c r="D40" s="113"/>
      <c r="E40" s="113"/>
      <c r="F40" s="113"/>
      <c r="G40" s="143"/>
    </row>
    <row r="41" spans="1:7" ht="13.5" hidden="1" thickBot="1">
      <c r="A41" s="145"/>
      <c r="B41" s="146"/>
      <c r="C41" s="147"/>
      <c r="D41" s="147"/>
      <c r="E41" s="147"/>
      <c r="F41" s="147"/>
      <c r="G41" s="148"/>
    </row>
  </sheetData>
  <sheetProtection/>
  <mergeCells count="3">
    <mergeCell ref="C1:E1"/>
    <mergeCell ref="H1:J1"/>
    <mergeCell ref="A34:B34"/>
  </mergeCells>
  <printOptions/>
  <pageMargins left="0.75" right="0.75" top="0.75" bottom="0.25" header="0.5" footer="0.5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G34"/>
  <sheetViews>
    <sheetView zoomScalePageLayoutView="0" workbookViewId="0" topLeftCell="A1">
      <selection activeCell="C38" sqref="C38"/>
    </sheetView>
  </sheetViews>
  <sheetFormatPr defaultColWidth="8.8515625" defaultRowHeight="12.75"/>
  <cols>
    <col min="1" max="1" width="4.421875" style="0" customWidth="1"/>
    <col min="2" max="2" width="10.28125" style="0" customWidth="1"/>
    <col min="3" max="3" width="10.421875" style="0" bestFit="1" customWidth="1"/>
    <col min="4" max="4" width="0.9921875" style="211" customWidth="1"/>
    <col min="5" max="5" width="9.140625" style="0" customWidth="1"/>
  </cols>
  <sheetData>
    <row r="1" spans="3:6" ht="12.75">
      <c r="C1" s="5" t="s">
        <v>116</v>
      </c>
      <c r="D1" s="218"/>
      <c r="E1" s="5"/>
      <c r="F1" s="5" t="s">
        <v>115</v>
      </c>
    </row>
    <row r="2" spans="2:6" ht="12.75">
      <c r="B2" s="212" t="s">
        <v>117</v>
      </c>
      <c r="C2" s="212" t="s">
        <v>118</v>
      </c>
      <c r="D2" s="213"/>
      <c r="E2" s="212" t="s">
        <v>117</v>
      </c>
      <c r="F2" s="212" t="s">
        <v>118</v>
      </c>
    </row>
    <row r="3" spans="1:6" ht="13.5" thickBot="1">
      <c r="A3" s="217" t="s">
        <v>119</v>
      </c>
      <c r="B3" s="214" t="s">
        <v>116</v>
      </c>
      <c r="C3" s="215" t="s">
        <v>125</v>
      </c>
      <c r="D3" s="216"/>
      <c r="E3" s="214" t="s">
        <v>115</v>
      </c>
      <c r="F3" s="215" t="s">
        <v>125</v>
      </c>
    </row>
    <row r="4" spans="1:6" ht="15.75" customHeight="1">
      <c r="A4">
        <v>0</v>
      </c>
      <c r="B4" s="86">
        <v>43294</v>
      </c>
      <c r="C4" s="86">
        <f>(+B4*5%)+B4</f>
        <v>45458.7</v>
      </c>
      <c r="D4" s="210"/>
      <c r="E4" s="86">
        <v>43694</v>
      </c>
      <c r="F4" s="86">
        <f>(+E4*5%)+E4</f>
        <v>45878.7</v>
      </c>
    </row>
    <row r="5" spans="1:7" ht="15.75" customHeight="1">
      <c r="A5">
        <v>1</v>
      </c>
      <c r="B5" s="86">
        <v>43774</v>
      </c>
      <c r="C5" s="86">
        <f aca="true" t="shared" si="0" ref="C5:C34">(+B5*5%)+B5</f>
        <v>45962.7</v>
      </c>
      <c r="D5" s="210"/>
      <c r="E5" s="86">
        <v>44214</v>
      </c>
      <c r="F5" s="86">
        <f aca="true" t="shared" si="1" ref="F5:F34">(+E5*5%)+E5</f>
        <v>46424.7</v>
      </c>
      <c r="G5" s="89"/>
    </row>
    <row r="6" spans="1:6" ht="15.75" customHeight="1">
      <c r="A6">
        <v>2</v>
      </c>
      <c r="B6" s="86">
        <v>44254</v>
      </c>
      <c r="C6" s="86">
        <f t="shared" si="0"/>
        <v>46466.7</v>
      </c>
      <c r="D6" s="210"/>
      <c r="E6" s="86">
        <v>44734</v>
      </c>
      <c r="F6" s="86">
        <f t="shared" si="1"/>
        <v>46970.7</v>
      </c>
    </row>
    <row r="7" spans="1:6" ht="15.75" customHeight="1">
      <c r="A7">
        <v>3</v>
      </c>
      <c r="B7" s="86">
        <v>44734</v>
      </c>
      <c r="C7" s="86">
        <f t="shared" si="0"/>
        <v>46970.7</v>
      </c>
      <c r="D7" s="210"/>
      <c r="E7" s="86">
        <v>45254</v>
      </c>
      <c r="F7" s="86">
        <f t="shared" si="1"/>
        <v>47516.7</v>
      </c>
    </row>
    <row r="8" spans="1:6" ht="15.75" customHeight="1">
      <c r="A8">
        <v>4</v>
      </c>
      <c r="B8" s="86">
        <v>45214</v>
      </c>
      <c r="C8" s="86">
        <f t="shared" si="0"/>
        <v>47474.7</v>
      </c>
      <c r="D8" s="210"/>
      <c r="E8" s="86">
        <v>45774</v>
      </c>
      <c r="F8" s="86">
        <f t="shared" si="1"/>
        <v>48062.7</v>
      </c>
    </row>
    <row r="9" spans="1:6" ht="15.75" customHeight="1">
      <c r="A9">
        <v>5</v>
      </c>
      <c r="B9" s="86">
        <v>45694</v>
      </c>
      <c r="C9" s="86">
        <f t="shared" si="0"/>
        <v>47978.7</v>
      </c>
      <c r="D9" s="210"/>
      <c r="E9" s="86">
        <v>46294</v>
      </c>
      <c r="F9" s="86">
        <f t="shared" si="1"/>
        <v>48608.7</v>
      </c>
    </row>
    <row r="10" spans="1:6" ht="15.75" customHeight="1">
      <c r="A10">
        <f>+A9+1</f>
        <v>6</v>
      </c>
      <c r="B10" s="86">
        <v>46174</v>
      </c>
      <c r="C10" s="86">
        <f t="shared" si="0"/>
        <v>48482.7</v>
      </c>
      <c r="D10" s="210"/>
      <c r="E10" s="86">
        <v>46814</v>
      </c>
      <c r="F10" s="86">
        <f t="shared" si="1"/>
        <v>49154.7</v>
      </c>
    </row>
    <row r="11" spans="1:6" ht="15.75" customHeight="1">
      <c r="A11">
        <f aca="true" t="shared" si="2" ref="A11:A34">+A10+1</f>
        <v>7</v>
      </c>
      <c r="B11" s="86">
        <v>46654</v>
      </c>
      <c r="C11" s="86">
        <f t="shared" si="0"/>
        <v>48986.7</v>
      </c>
      <c r="D11" s="210"/>
      <c r="E11" s="86">
        <v>47334</v>
      </c>
      <c r="F11" s="86">
        <f t="shared" si="1"/>
        <v>49700.7</v>
      </c>
    </row>
    <row r="12" spans="1:6" ht="15.75" customHeight="1">
      <c r="A12">
        <f t="shared" si="2"/>
        <v>8</v>
      </c>
      <c r="B12" s="86">
        <v>47134</v>
      </c>
      <c r="C12" s="86">
        <f t="shared" si="0"/>
        <v>49490.7</v>
      </c>
      <c r="D12" s="210"/>
      <c r="E12" s="86">
        <v>47854</v>
      </c>
      <c r="F12" s="86">
        <f t="shared" si="1"/>
        <v>50246.7</v>
      </c>
    </row>
    <row r="13" spans="1:6" ht="15.75" customHeight="1">
      <c r="A13">
        <f t="shared" si="2"/>
        <v>9</v>
      </c>
      <c r="B13" s="86">
        <v>47614</v>
      </c>
      <c r="C13" s="86">
        <f t="shared" si="0"/>
        <v>49994.7</v>
      </c>
      <c r="D13" s="210"/>
      <c r="E13" s="86">
        <v>48374</v>
      </c>
      <c r="F13" s="86">
        <f t="shared" si="1"/>
        <v>50792.7</v>
      </c>
    </row>
    <row r="14" spans="1:6" ht="15.75" customHeight="1">
      <c r="A14">
        <f t="shared" si="2"/>
        <v>10</v>
      </c>
      <c r="B14" s="86">
        <v>48094</v>
      </c>
      <c r="C14" s="86">
        <f t="shared" si="0"/>
        <v>50498.7</v>
      </c>
      <c r="D14" s="210"/>
      <c r="E14" s="86">
        <v>48894</v>
      </c>
      <c r="F14" s="86">
        <f t="shared" si="1"/>
        <v>51338.7</v>
      </c>
    </row>
    <row r="15" spans="1:6" ht="15.75" customHeight="1">
      <c r="A15">
        <f t="shared" si="2"/>
        <v>11</v>
      </c>
      <c r="B15" s="86">
        <v>48574</v>
      </c>
      <c r="C15" s="86">
        <f t="shared" si="0"/>
        <v>51002.7</v>
      </c>
      <c r="D15" s="210"/>
      <c r="E15" s="86">
        <v>49414</v>
      </c>
      <c r="F15" s="86">
        <f t="shared" si="1"/>
        <v>51884.7</v>
      </c>
    </row>
    <row r="16" spans="1:6" ht="15.75" customHeight="1">
      <c r="A16">
        <f t="shared" si="2"/>
        <v>12</v>
      </c>
      <c r="B16" s="86">
        <v>49054</v>
      </c>
      <c r="C16" s="86">
        <f t="shared" si="0"/>
        <v>51506.7</v>
      </c>
      <c r="D16" s="210"/>
      <c r="E16" s="86">
        <v>49934</v>
      </c>
      <c r="F16" s="86">
        <f t="shared" si="1"/>
        <v>52430.7</v>
      </c>
    </row>
    <row r="17" spans="1:6" ht="15.75" customHeight="1">
      <c r="A17">
        <f t="shared" si="2"/>
        <v>13</v>
      </c>
      <c r="B17" s="86">
        <v>49534</v>
      </c>
      <c r="C17" s="86">
        <f t="shared" si="0"/>
        <v>52010.7</v>
      </c>
      <c r="D17" s="210"/>
      <c r="E17" s="86">
        <v>50454</v>
      </c>
      <c r="F17" s="86">
        <f t="shared" si="1"/>
        <v>52976.7</v>
      </c>
    </row>
    <row r="18" spans="1:6" ht="15.75" customHeight="1">
      <c r="A18">
        <f t="shared" si="2"/>
        <v>14</v>
      </c>
      <c r="B18" s="86">
        <v>50014</v>
      </c>
      <c r="C18" s="86">
        <f t="shared" si="0"/>
        <v>52514.7</v>
      </c>
      <c r="D18" s="210"/>
      <c r="E18" s="86">
        <v>50974</v>
      </c>
      <c r="F18" s="86">
        <f t="shared" si="1"/>
        <v>53522.7</v>
      </c>
    </row>
    <row r="19" spans="1:6" ht="15.75" customHeight="1">
      <c r="A19">
        <f t="shared" si="2"/>
        <v>15</v>
      </c>
      <c r="B19" s="86">
        <v>50494</v>
      </c>
      <c r="C19" s="86">
        <f t="shared" si="0"/>
        <v>53018.7</v>
      </c>
      <c r="D19" s="210"/>
      <c r="E19" s="86">
        <v>51494</v>
      </c>
      <c r="F19" s="86">
        <f t="shared" si="1"/>
        <v>54068.7</v>
      </c>
    </row>
    <row r="20" spans="1:6" ht="15.75" customHeight="1">
      <c r="A20">
        <f t="shared" si="2"/>
        <v>16</v>
      </c>
      <c r="B20" s="86">
        <v>50974</v>
      </c>
      <c r="C20" s="86">
        <f t="shared" si="0"/>
        <v>53522.7</v>
      </c>
      <c r="D20" s="210"/>
      <c r="E20" s="86">
        <v>52014</v>
      </c>
      <c r="F20" s="86">
        <f t="shared" si="1"/>
        <v>54614.7</v>
      </c>
    </row>
    <row r="21" spans="1:6" ht="15.75" customHeight="1">
      <c r="A21">
        <f t="shared" si="2"/>
        <v>17</v>
      </c>
      <c r="B21" s="86">
        <v>51454</v>
      </c>
      <c r="C21" s="86">
        <f t="shared" si="0"/>
        <v>54026.7</v>
      </c>
      <c r="D21" s="210"/>
      <c r="E21" s="86">
        <v>52534</v>
      </c>
      <c r="F21" s="86">
        <f t="shared" si="1"/>
        <v>55160.7</v>
      </c>
    </row>
    <row r="22" spans="1:6" ht="15.75" customHeight="1">
      <c r="A22">
        <f t="shared" si="2"/>
        <v>18</v>
      </c>
      <c r="B22" s="86">
        <v>51934</v>
      </c>
      <c r="C22" s="86">
        <f t="shared" si="0"/>
        <v>54530.7</v>
      </c>
      <c r="D22" s="210"/>
      <c r="E22" s="86">
        <v>53054</v>
      </c>
      <c r="F22" s="86">
        <f t="shared" si="1"/>
        <v>55706.7</v>
      </c>
    </row>
    <row r="23" spans="1:6" ht="15.75" customHeight="1">
      <c r="A23">
        <f t="shared" si="2"/>
        <v>19</v>
      </c>
      <c r="B23" s="86">
        <v>52414</v>
      </c>
      <c r="C23" s="86">
        <f t="shared" si="0"/>
        <v>55034.7</v>
      </c>
      <c r="D23" s="210"/>
      <c r="E23" s="86">
        <v>53574</v>
      </c>
      <c r="F23" s="86">
        <f t="shared" si="1"/>
        <v>56252.7</v>
      </c>
    </row>
    <row r="24" spans="1:6" ht="15.75" customHeight="1">
      <c r="A24">
        <f t="shared" si="2"/>
        <v>20</v>
      </c>
      <c r="B24" s="86">
        <v>52894</v>
      </c>
      <c r="C24" s="86">
        <f t="shared" si="0"/>
        <v>55538.7</v>
      </c>
      <c r="D24" s="210"/>
      <c r="E24" s="86">
        <v>54094</v>
      </c>
      <c r="F24" s="86">
        <f t="shared" si="1"/>
        <v>56798.7</v>
      </c>
    </row>
    <row r="25" spans="1:6" ht="15.75" customHeight="1">
      <c r="A25">
        <f t="shared" si="2"/>
        <v>21</v>
      </c>
      <c r="B25" s="86">
        <v>53374</v>
      </c>
      <c r="C25" s="86">
        <f t="shared" si="0"/>
        <v>56042.7</v>
      </c>
      <c r="D25" s="210"/>
      <c r="E25" s="86">
        <v>54614</v>
      </c>
      <c r="F25" s="86">
        <f t="shared" si="1"/>
        <v>57344.7</v>
      </c>
    </row>
    <row r="26" spans="1:6" ht="15.75" customHeight="1">
      <c r="A26">
        <f t="shared" si="2"/>
        <v>22</v>
      </c>
      <c r="B26" s="86">
        <v>53854</v>
      </c>
      <c r="C26" s="86">
        <f t="shared" si="0"/>
        <v>56546.7</v>
      </c>
      <c r="D26" s="210"/>
      <c r="E26" s="86">
        <v>55134</v>
      </c>
      <c r="F26" s="86">
        <f t="shared" si="1"/>
        <v>57890.7</v>
      </c>
    </row>
    <row r="27" spans="1:6" ht="15.75" customHeight="1">
      <c r="A27">
        <f t="shared" si="2"/>
        <v>23</v>
      </c>
      <c r="B27" s="86">
        <v>54334</v>
      </c>
      <c r="C27" s="86">
        <f t="shared" si="0"/>
        <v>57050.7</v>
      </c>
      <c r="D27" s="210"/>
      <c r="E27" s="86">
        <v>55654</v>
      </c>
      <c r="F27" s="86">
        <f t="shared" si="1"/>
        <v>58436.7</v>
      </c>
    </row>
    <row r="28" spans="1:6" ht="15.75" customHeight="1">
      <c r="A28">
        <f t="shared" si="2"/>
        <v>24</v>
      </c>
      <c r="B28" s="86">
        <v>54814</v>
      </c>
      <c r="C28" s="86">
        <f t="shared" si="0"/>
        <v>57554.7</v>
      </c>
      <c r="D28" s="210"/>
      <c r="E28" s="86">
        <v>56174</v>
      </c>
      <c r="F28" s="86">
        <f t="shared" si="1"/>
        <v>58982.7</v>
      </c>
    </row>
    <row r="29" spans="1:6" ht="15.75" customHeight="1">
      <c r="A29">
        <f t="shared" si="2"/>
        <v>25</v>
      </c>
      <c r="B29" s="86">
        <v>55294</v>
      </c>
      <c r="C29" s="86">
        <f t="shared" si="0"/>
        <v>58058.7</v>
      </c>
      <c r="D29" s="210"/>
      <c r="E29" s="86">
        <v>56694</v>
      </c>
      <c r="F29" s="86">
        <f t="shared" si="1"/>
        <v>59528.7</v>
      </c>
    </row>
    <row r="30" spans="1:6" ht="15.75" customHeight="1">
      <c r="A30">
        <f t="shared" si="2"/>
        <v>26</v>
      </c>
      <c r="B30" s="86">
        <v>55774</v>
      </c>
      <c r="C30" s="86">
        <f t="shared" si="0"/>
        <v>58562.7</v>
      </c>
      <c r="D30" s="210"/>
      <c r="E30" s="86">
        <v>57214</v>
      </c>
      <c r="F30" s="86">
        <f t="shared" si="1"/>
        <v>60074.7</v>
      </c>
    </row>
    <row r="31" spans="1:6" ht="15.75" customHeight="1">
      <c r="A31">
        <f t="shared" si="2"/>
        <v>27</v>
      </c>
      <c r="B31" s="86">
        <v>56254</v>
      </c>
      <c r="C31" s="86">
        <f t="shared" si="0"/>
        <v>59066.7</v>
      </c>
      <c r="D31" s="210"/>
      <c r="E31" s="86">
        <v>57734</v>
      </c>
      <c r="F31" s="86">
        <f t="shared" si="1"/>
        <v>60620.7</v>
      </c>
    </row>
    <row r="32" spans="1:6" ht="15.75" customHeight="1">
      <c r="A32">
        <f t="shared" si="2"/>
        <v>28</v>
      </c>
      <c r="B32" s="86">
        <v>56734</v>
      </c>
      <c r="C32" s="86">
        <f t="shared" si="0"/>
        <v>59570.7</v>
      </c>
      <c r="D32" s="210"/>
      <c r="E32" s="86">
        <v>58254</v>
      </c>
      <c r="F32" s="86">
        <f t="shared" si="1"/>
        <v>61166.7</v>
      </c>
    </row>
    <row r="33" spans="1:6" ht="15.75" customHeight="1">
      <c r="A33">
        <f t="shared" si="2"/>
        <v>29</v>
      </c>
      <c r="B33" s="86">
        <v>57214</v>
      </c>
      <c r="C33" s="86">
        <f t="shared" si="0"/>
        <v>60074.7</v>
      </c>
      <c r="D33" s="210"/>
      <c r="E33" s="86">
        <v>58774</v>
      </c>
      <c r="F33" s="86">
        <f t="shared" si="1"/>
        <v>61712.7</v>
      </c>
    </row>
    <row r="34" spans="1:6" ht="15.75" customHeight="1">
      <c r="A34">
        <f t="shared" si="2"/>
        <v>30</v>
      </c>
      <c r="B34" s="86">
        <v>57694</v>
      </c>
      <c r="C34" s="86">
        <f t="shared" si="0"/>
        <v>60578.7</v>
      </c>
      <c r="D34" s="210"/>
      <c r="E34" s="86">
        <v>59294</v>
      </c>
      <c r="F34" s="86">
        <f t="shared" si="1"/>
        <v>62258.7</v>
      </c>
    </row>
  </sheetData>
  <sheetProtection/>
  <printOptions horizontalCentered="1"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E111"/>
  <sheetViews>
    <sheetView zoomScalePageLayoutView="0" workbookViewId="0" topLeftCell="A1">
      <selection activeCell="B4" sqref="B4"/>
    </sheetView>
  </sheetViews>
  <sheetFormatPr defaultColWidth="8.8515625" defaultRowHeight="12.75"/>
  <cols>
    <col min="5" max="5" width="11.421875" style="0" customWidth="1"/>
  </cols>
  <sheetData>
    <row r="1" ht="12.75">
      <c r="A1" s="12"/>
    </row>
    <row r="2" spans="1:5" ht="12.75">
      <c r="A2" s="21">
        <v>35.48</v>
      </c>
      <c r="B2" s="219">
        <f>((+A2*5%)+A2)*12</f>
        <v>447.048</v>
      </c>
      <c r="D2" s="21">
        <v>32.74</v>
      </c>
      <c r="E2" s="219">
        <f>((+D2*5%)+D2)*12</f>
        <v>412.524</v>
      </c>
    </row>
    <row r="3" spans="1:5" ht="12.75">
      <c r="A3" s="21">
        <v>27.14</v>
      </c>
      <c r="B3" s="219">
        <f aca="true" t="shared" si="0" ref="B3:B66">((+A3*5%)+A3)*12</f>
        <v>341.964</v>
      </c>
      <c r="D3" s="21">
        <v>45.16</v>
      </c>
      <c r="E3" s="219">
        <f aca="true" t="shared" si="1" ref="E3:E66">((+D3*5%)+D3)*12</f>
        <v>569.016</v>
      </c>
    </row>
    <row r="4" spans="1:5" ht="12.75">
      <c r="A4" s="18">
        <f>SUM(A2:A3)</f>
        <v>62.62</v>
      </c>
      <c r="B4" s="219">
        <f t="shared" si="0"/>
        <v>789.0120000000001</v>
      </c>
      <c r="D4" s="18">
        <f>SUM(D2:D3)</f>
        <v>77.9</v>
      </c>
      <c r="E4" s="219">
        <f t="shared" si="1"/>
        <v>981.54</v>
      </c>
    </row>
    <row r="5" spans="1:5" ht="12.75">
      <c r="A5" s="15"/>
      <c r="B5" s="219">
        <f t="shared" si="0"/>
        <v>0</v>
      </c>
      <c r="D5" s="15"/>
      <c r="E5" s="219">
        <f t="shared" si="1"/>
        <v>0</v>
      </c>
    </row>
    <row r="6" spans="1:5" ht="12.75">
      <c r="A6" s="11"/>
      <c r="B6" s="219">
        <f t="shared" si="0"/>
        <v>0</v>
      </c>
      <c r="D6" s="11"/>
      <c r="E6" s="219">
        <f t="shared" si="1"/>
        <v>0</v>
      </c>
    </row>
    <row r="7" spans="1:5" ht="12.75">
      <c r="A7" s="50">
        <v>35.48</v>
      </c>
      <c r="B7" s="219">
        <f t="shared" si="0"/>
        <v>447.048</v>
      </c>
      <c r="D7" s="50"/>
      <c r="E7" s="219">
        <f t="shared" si="1"/>
        <v>0</v>
      </c>
    </row>
    <row r="8" spans="1:5" ht="12.75">
      <c r="A8" s="104">
        <v>27.14</v>
      </c>
      <c r="B8" s="219">
        <f t="shared" si="0"/>
        <v>341.964</v>
      </c>
      <c r="D8" s="104">
        <v>34.76</v>
      </c>
      <c r="E8" s="219">
        <f t="shared" si="1"/>
        <v>437.976</v>
      </c>
    </row>
    <row r="9" spans="1:5" ht="12.75">
      <c r="A9" s="50">
        <v>32.7</v>
      </c>
      <c r="B9" s="219">
        <f t="shared" si="0"/>
        <v>412.02</v>
      </c>
      <c r="D9" s="50">
        <v>68.14</v>
      </c>
      <c r="E9" s="219">
        <f t="shared" si="1"/>
        <v>858.564</v>
      </c>
    </row>
    <row r="10" spans="1:5" ht="12.75">
      <c r="A10" s="50">
        <v>27.14</v>
      </c>
      <c r="B10" s="219">
        <f t="shared" si="0"/>
        <v>341.964</v>
      </c>
      <c r="D10" s="50">
        <v>34.76</v>
      </c>
      <c r="E10" s="219">
        <f t="shared" si="1"/>
        <v>437.976</v>
      </c>
    </row>
    <row r="11" spans="1:5" ht="12.75">
      <c r="A11" s="50">
        <v>32.53</v>
      </c>
      <c r="B11" s="219">
        <f t="shared" si="0"/>
        <v>409.87800000000004</v>
      </c>
      <c r="D11" s="50">
        <v>110.57</v>
      </c>
      <c r="E11" s="219">
        <f t="shared" si="1"/>
        <v>1393.1819999999998</v>
      </c>
    </row>
    <row r="12" spans="1:5" ht="12.75">
      <c r="A12" s="50">
        <v>0</v>
      </c>
      <c r="B12" s="219">
        <f t="shared" si="0"/>
        <v>0</v>
      </c>
      <c r="D12" s="50">
        <v>0</v>
      </c>
      <c r="E12" s="219">
        <f t="shared" si="1"/>
        <v>0</v>
      </c>
    </row>
    <row r="13" spans="1:5" ht="12.75">
      <c r="A13" s="50">
        <v>0</v>
      </c>
      <c r="B13" s="219">
        <f t="shared" si="0"/>
        <v>0</v>
      </c>
      <c r="D13" s="50">
        <v>0</v>
      </c>
      <c r="E13" s="219">
        <f t="shared" si="1"/>
        <v>0</v>
      </c>
    </row>
    <row r="14" spans="1:5" ht="12.75">
      <c r="A14" s="50">
        <v>33.39</v>
      </c>
      <c r="B14" s="219">
        <f t="shared" si="0"/>
        <v>420.714</v>
      </c>
      <c r="D14" s="50">
        <v>78.36</v>
      </c>
      <c r="E14" s="219">
        <f t="shared" si="1"/>
        <v>987.336</v>
      </c>
    </row>
    <row r="15" spans="1:5" ht="12.75">
      <c r="A15" s="50">
        <v>35.48</v>
      </c>
      <c r="B15" s="219">
        <f t="shared" si="0"/>
        <v>447.048</v>
      </c>
      <c r="D15" s="50">
        <v>70.52</v>
      </c>
      <c r="E15" s="219">
        <f t="shared" si="1"/>
        <v>888.5519999999999</v>
      </c>
    </row>
    <row r="16" spans="1:5" ht="12.75">
      <c r="A16" s="50">
        <v>27.49</v>
      </c>
      <c r="B16" s="219">
        <f t="shared" si="0"/>
        <v>346.374</v>
      </c>
      <c r="D16" s="50">
        <v>68.14</v>
      </c>
      <c r="E16" s="219">
        <f t="shared" si="1"/>
        <v>858.564</v>
      </c>
    </row>
    <row r="17" spans="1:5" ht="12.75">
      <c r="A17" s="104">
        <v>32.7</v>
      </c>
      <c r="B17" s="219">
        <f t="shared" si="0"/>
        <v>412.02</v>
      </c>
      <c r="D17" s="104">
        <v>34.76</v>
      </c>
      <c r="E17" s="219">
        <f t="shared" si="1"/>
        <v>437.976</v>
      </c>
    </row>
    <row r="18" spans="1:5" ht="12.75">
      <c r="A18" s="50">
        <v>30.45</v>
      </c>
      <c r="B18" s="219">
        <f t="shared" si="0"/>
        <v>383.67</v>
      </c>
      <c r="D18" s="50">
        <v>45.16</v>
      </c>
      <c r="E18" s="219">
        <f t="shared" si="1"/>
        <v>569.016</v>
      </c>
    </row>
    <row r="19" spans="1:5" ht="12.75">
      <c r="A19" s="50">
        <v>34.08</v>
      </c>
      <c r="B19" s="219">
        <f t="shared" si="0"/>
        <v>429.408</v>
      </c>
      <c r="D19" s="50">
        <v>43.08</v>
      </c>
      <c r="E19" s="219">
        <f t="shared" si="1"/>
        <v>542.808</v>
      </c>
    </row>
    <row r="20" spans="1:5" ht="12.75">
      <c r="A20" s="50">
        <v>31.31</v>
      </c>
      <c r="B20" s="219">
        <f t="shared" si="0"/>
        <v>394.50600000000003</v>
      </c>
      <c r="D20" s="50">
        <v>101.93</v>
      </c>
      <c r="E20" s="219">
        <f t="shared" si="1"/>
        <v>1284.3180000000002</v>
      </c>
    </row>
    <row r="21" spans="1:5" ht="12.75">
      <c r="A21" s="50">
        <v>30.12</v>
      </c>
      <c r="B21" s="219">
        <f t="shared" si="0"/>
        <v>379.512</v>
      </c>
      <c r="D21" s="50">
        <v>45</v>
      </c>
      <c r="E21" s="219">
        <f t="shared" si="1"/>
        <v>567</v>
      </c>
    </row>
    <row r="22" spans="1:5" ht="12.75">
      <c r="A22" s="50">
        <v>40</v>
      </c>
      <c r="B22" s="219">
        <f t="shared" si="0"/>
        <v>504</v>
      </c>
      <c r="D22" s="50">
        <v>50</v>
      </c>
      <c r="E22" s="219">
        <f t="shared" si="1"/>
        <v>630</v>
      </c>
    </row>
    <row r="23" spans="1:5" ht="12.75">
      <c r="A23" s="50">
        <v>36.18</v>
      </c>
      <c r="B23" s="219">
        <f t="shared" si="0"/>
        <v>455.86799999999994</v>
      </c>
      <c r="D23" s="50">
        <v>70.52</v>
      </c>
      <c r="E23" s="219">
        <f t="shared" si="1"/>
        <v>888.5519999999999</v>
      </c>
    </row>
    <row r="24" spans="1:5" ht="12.75">
      <c r="A24" s="50">
        <v>33.66</v>
      </c>
      <c r="B24" s="219">
        <f t="shared" si="0"/>
        <v>424.116</v>
      </c>
      <c r="D24" s="50">
        <v>110.57</v>
      </c>
      <c r="E24" s="219">
        <f t="shared" si="1"/>
        <v>1393.1819999999998</v>
      </c>
    </row>
    <row r="25" spans="1:5" ht="12.75">
      <c r="A25" s="50">
        <v>32.48</v>
      </c>
      <c r="B25" s="219">
        <f t="shared" si="0"/>
        <v>409.248</v>
      </c>
      <c r="D25" s="50">
        <v>34.76</v>
      </c>
      <c r="E25" s="219">
        <f t="shared" si="1"/>
        <v>437.976</v>
      </c>
    </row>
    <row r="26" spans="1:5" ht="12.75">
      <c r="A26" s="50">
        <v>31.38</v>
      </c>
      <c r="B26" s="219">
        <f t="shared" si="0"/>
        <v>395.388</v>
      </c>
      <c r="D26" s="50">
        <v>72.49</v>
      </c>
      <c r="E26" s="219">
        <f t="shared" si="1"/>
        <v>913.3739999999999</v>
      </c>
    </row>
    <row r="27" spans="1:5" ht="12.75">
      <c r="A27" s="50"/>
      <c r="B27" s="219">
        <f t="shared" si="0"/>
        <v>0</v>
      </c>
      <c r="D27" s="50">
        <v>75</v>
      </c>
      <c r="E27" s="219">
        <f t="shared" si="1"/>
        <v>945</v>
      </c>
    </row>
    <row r="28" spans="1:5" ht="12.75">
      <c r="A28" s="50"/>
      <c r="B28" s="219">
        <f t="shared" si="0"/>
        <v>0</v>
      </c>
      <c r="D28" s="50">
        <v>75</v>
      </c>
      <c r="E28" s="219">
        <f t="shared" si="1"/>
        <v>945</v>
      </c>
    </row>
    <row r="29" spans="1:5" ht="12.75">
      <c r="A29" s="50"/>
      <c r="B29" s="219">
        <f t="shared" si="0"/>
        <v>0</v>
      </c>
      <c r="D29" s="50"/>
      <c r="E29" s="219">
        <f t="shared" si="1"/>
        <v>0</v>
      </c>
    </row>
    <row r="30" spans="1:5" ht="12.75">
      <c r="A30" s="50"/>
      <c r="B30" s="219">
        <f t="shared" si="0"/>
        <v>0</v>
      </c>
      <c r="D30" s="50"/>
      <c r="E30" s="219">
        <f t="shared" si="1"/>
        <v>0</v>
      </c>
    </row>
    <row r="31" spans="1:5" ht="12.75">
      <c r="A31" s="106"/>
      <c r="B31" s="219">
        <f t="shared" si="0"/>
        <v>0</v>
      </c>
      <c r="D31" s="106"/>
      <c r="E31" s="219">
        <f t="shared" si="1"/>
        <v>0</v>
      </c>
    </row>
    <row r="32" spans="1:5" ht="12.75">
      <c r="A32" s="106"/>
      <c r="B32" s="219">
        <f t="shared" si="0"/>
        <v>0</v>
      </c>
      <c r="D32" s="106"/>
      <c r="E32" s="219">
        <f t="shared" si="1"/>
        <v>0</v>
      </c>
    </row>
    <row r="33" spans="1:5" ht="12.75">
      <c r="A33" s="18">
        <f>SUM(A7:A32)</f>
        <v>583.71</v>
      </c>
      <c r="B33" s="219">
        <f t="shared" si="0"/>
        <v>7354.746000000001</v>
      </c>
      <c r="D33" s="18">
        <f>SUM(D7:D32)</f>
        <v>1223.52</v>
      </c>
      <c r="E33" s="219">
        <f t="shared" si="1"/>
        <v>15416.351999999999</v>
      </c>
    </row>
    <row r="34" spans="1:5" ht="12.75">
      <c r="A34" s="16"/>
      <c r="B34" s="219">
        <f t="shared" si="0"/>
        <v>0</v>
      </c>
      <c r="D34" s="16"/>
      <c r="E34" s="219">
        <f t="shared" si="1"/>
        <v>0</v>
      </c>
    </row>
    <row r="35" spans="1:5" ht="12.75">
      <c r="A35" s="25"/>
      <c r="B35" s="219">
        <f t="shared" si="0"/>
        <v>0</v>
      </c>
      <c r="D35" s="25"/>
      <c r="E35" s="219">
        <f t="shared" si="1"/>
        <v>0</v>
      </c>
    </row>
    <row r="36" spans="1:5" ht="12.75">
      <c r="A36" s="26"/>
      <c r="B36" s="219">
        <f t="shared" si="0"/>
        <v>0</v>
      </c>
      <c r="D36" s="26"/>
      <c r="E36" s="219">
        <f t="shared" si="1"/>
        <v>0</v>
      </c>
    </row>
    <row r="37" spans="1:5" ht="12.75">
      <c r="A37" s="26"/>
      <c r="B37" s="219">
        <f t="shared" si="0"/>
        <v>0</v>
      </c>
      <c r="D37" s="26"/>
      <c r="E37" s="219">
        <f t="shared" si="1"/>
        <v>0</v>
      </c>
    </row>
    <row r="38" spans="1:5" ht="12.75">
      <c r="A38" s="26"/>
      <c r="B38" s="219">
        <f t="shared" si="0"/>
        <v>0</v>
      </c>
      <c r="D38" s="26"/>
      <c r="E38" s="219">
        <f t="shared" si="1"/>
        <v>0</v>
      </c>
    </row>
    <row r="39" spans="1:5" ht="12.75">
      <c r="A39" s="26">
        <v>0</v>
      </c>
      <c r="B39" s="219">
        <f t="shared" si="0"/>
        <v>0</v>
      </c>
      <c r="D39" s="26"/>
      <c r="E39" s="219">
        <f t="shared" si="1"/>
        <v>0</v>
      </c>
    </row>
    <row r="40" spans="1:5" ht="12.75">
      <c r="A40" s="26">
        <v>0</v>
      </c>
      <c r="B40" s="219">
        <f t="shared" si="0"/>
        <v>0</v>
      </c>
      <c r="D40" s="26">
        <f>93.9+12+9.75+2.25+12.99</f>
        <v>130.89000000000001</v>
      </c>
      <c r="E40" s="219">
        <f t="shared" si="1"/>
        <v>1649.2140000000002</v>
      </c>
    </row>
    <row r="41" spans="1:5" ht="12.75">
      <c r="A41" s="26">
        <v>0</v>
      </c>
      <c r="B41" s="219">
        <f t="shared" si="0"/>
        <v>0</v>
      </c>
      <c r="D41" s="26"/>
      <c r="E41" s="219">
        <f t="shared" si="1"/>
        <v>0</v>
      </c>
    </row>
    <row r="42" spans="1:5" ht="12.75">
      <c r="A42" s="26">
        <v>0</v>
      </c>
      <c r="B42" s="219">
        <f t="shared" si="0"/>
        <v>0</v>
      </c>
      <c r="D42" s="26"/>
      <c r="E42" s="219">
        <f t="shared" si="1"/>
        <v>0</v>
      </c>
    </row>
    <row r="43" spans="1:5" ht="12.75">
      <c r="A43" s="26">
        <v>0</v>
      </c>
      <c r="B43" s="219">
        <f t="shared" si="0"/>
        <v>0</v>
      </c>
      <c r="D43" s="26"/>
      <c r="E43" s="219">
        <f t="shared" si="1"/>
        <v>0</v>
      </c>
    </row>
    <row r="44" spans="1:5" ht="12.75">
      <c r="A44" s="26">
        <v>0</v>
      </c>
      <c r="B44" s="219">
        <f t="shared" si="0"/>
        <v>0</v>
      </c>
      <c r="D44" s="26"/>
      <c r="E44" s="219">
        <f t="shared" si="1"/>
        <v>0</v>
      </c>
    </row>
    <row r="45" spans="1:5" ht="12.75">
      <c r="A45" s="26"/>
      <c r="B45" s="219">
        <f t="shared" si="0"/>
        <v>0</v>
      </c>
      <c r="D45" s="26"/>
      <c r="E45" s="219">
        <f t="shared" si="1"/>
        <v>0</v>
      </c>
    </row>
    <row r="46" spans="1:5" ht="12.75">
      <c r="A46" s="18">
        <f>SUM(A36:A44)</f>
        <v>0</v>
      </c>
      <c r="B46" s="219">
        <f t="shared" si="0"/>
        <v>0</v>
      </c>
      <c r="D46" s="18">
        <f>SUM(D36:D44)</f>
        <v>130.89000000000001</v>
      </c>
      <c r="E46" s="219">
        <f t="shared" si="1"/>
        <v>1649.2140000000002</v>
      </c>
    </row>
    <row r="47" spans="1:5" ht="12.75">
      <c r="A47" s="25"/>
      <c r="B47" s="219">
        <f t="shared" si="0"/>
        <v>0</v>
      </c>
      <c r="D47" s="25"/>
      <c r="E47" s="219">
        <f t="shared" si="1"/>
        <v>0</v>
      </c>
    </row>
    <row r="48" spans="1:5" ht="12.75">
      <c r="A48" s="26"/>
      <c r="B48" s="219">
        <f t="shared" si="0"/>
        <v>0</v>
      </c>
      <c r="D48" s="26"/>
      <c r="E48" s="219">
        <f t="shared" si="1"/>
        <v>0</v>
      </c>
    </row>
    <row r="49" spans="1:5" ht="12.75">
      <c r="A49" s="18"/>
      <c r="B49" s="219">
        <f t="shared" si="0"/>
        <v>0</v>
      </c>
      <c r="D49" s="18"/>
      <c r="E49" s="219">
        <f t="shared" si="1"/>
        <v>0</v>
      </c>
    </row>
    <row r="50" spans="1:5" ht="12.75">
      <c r="A50" s="16"/>
      <c r="B50" s="219">
        <f t="shared" si="0"/>
        <v>0</v>
      </c>
      <c r="D50" s="16"/>
      <c r="E50" s="219">
        <f t="shared" si="1"/>
        <v>0</v>
      </c>
    </row>
    <row r="51" spans="1:5" ht="12.75">
      <c r="A51" s="44"/>
      <c r="B51" s="219">
        <f t="shared" si="0"/>
        <v>0</v>
      </c>
      <c r="D51" s="44"/>
      <c r="E51" s="219">
        <f t="shared" si="1"/>
        <v>0</v>
      </c>
    </row>
    <row r="52" spans="1:5" ht="12.75">
      <c r="A52" s="16"/>
      <c r="B52" s="219">
        <f t="shared" si="0"/>
        <v>0</v>
      </c>
      <c r="D52" s="16"/>
      <c r="E52" s="219">
        <f t="shared" si="1"/>
        <v>0</v>
      </c>
    </row>
    <row r="53" spans="1:5" ht="12.75">
      <c r="A53" s="16"/>
      <c r="B53" s="219">
        <f t="shared" si="0"/>
        <v>0</v>
      </c>
      <c r="D53" s="16"/>
      <c r="E53" s="219">
        <f t="shared" si="1"/>
        <v>0</v>
      </c>
    </row>
    <row r="54" spans="1:5" ht="12.75">
      <c r="A54" s="16"/>
      <c r="B54" s="219">
        <f t="shared" si="0"/>
        <v>0</v>
      </c>
      <c r="D54" s="16"/>
      <c r="E54" s="219">
        <f t="shared" si="1"/>
        <v>0</v>
      </c>
    </row>
    <row r="55" spans="1:5" ht="12.75">
      <c r="A55" s="25"/>
      <c r="B55" s="219">
        <f t="shared" si="0"/>
        <v>0</v>
      </c>
      <c r="D55" s="25"/>
      <c r="E55" s="219">
        <f t="shared" si="1"/>
        <v>0</v>
      </c>
    </row>
    <row r="56" spans="1:5" ht="12.75">
      <c r="A56" s="26">
        <v>0</v>
      </c>
      <c r="B56" s="219">
        <f t="shared" si="0"/>
        <v>0</v>
      </c>
      <c r="D56" s="26"/>
      <c r="E56" s="219">
        <f t="shared" si="1"/>
        <v>0</v>
      </c>
    </row>
    <row r="57" spans="1:5" ht="12.75">
      <c r="A57" s="26">
        <v>0</v>
      </c>
      <c r="B57" s="219">
        <f t="shared" si="0"/>
        <v>0</v>
      </c>
      <c r="D57" s="26"/>
      <c r="E57" s="219">
        <f t="shared" si="1"/>
        <v>0</v>
      </c>
    </row>
    <row r="58" spans="1:5" ht="12.75">
      <c r="A58" s="26"/>
      <c r="B58" s="219">
        <f t="shared" si="0"/>
        <v>0</v>
      </c>
      <c r="D58" s="26"/>
      <c r="E58" s="219">
        <f t="shared" si="1"/>
        <v>0</v>
      </c>
    </row>
    <row r="59" spans="1:5" ht="12.75">
      <c r="A59" s="18">
        <f>SUM(A56:A58)</f>
        <v>0</v>
      </c>
      <c r="B59" s="219">
        <f t="shared" si="0"/>
        <v>0</v>
      </c>
      <c r="D59" s="18">
        <f>SUM(D56:D58)</f>
        <v>0</v>
      </c>
      <c r="E59" s="219">
        <f t="shared" si="1"/>
        <v>0</v>
      </c>
    </row>
    <row r="60" spans="1:5" ht="12.75">
      <c r="A60" s="16"/>
      <c r="B60" s="219">
        <f t="shared" si="0"/>
        <v>0</v>
      </c>
      <c r="D60" s="16"/>
      <c r="E60" s="219">
        <f t="shared" si="1"/>
        <v>0</v>
      </c>
    </row>
    <row r="61" spans="1:5" ht="12.75">
      <c r="A61" s="25"/>
      <c r="B61" s="219">
        <f t="shared" si="0"/>
        <v>0</v>
      </c>
      <c r="D61" s="25"/>
      <c r="E61" s="219">
        <f t="shared" si="1"/>
        <v>0</v>
      </c>
    </row>
    <row r="62" spans="1:5" ht="12.75">
      <c r="A62" s="26">
        <v>0</v>
      </c>
      <c r="B62" s="219">
        <f t="shared" si="0"/>
        <v>0</v>
      </c>
      <c r="D62" s="26"/>
      <c r="E62" s="219">
        <f t="shared" si="1"/>
        <v>0</v>
      </c>
    </row>
    <row r="63" spans="1:5" ht="12.75">
      <c r="A63" s="26">
        <v>0</v>
      </c>
      <c r="B63" s="219">
        <f t="shared" si="0"/>
        <v>0</v>
      </c>
      <c r="D63" s="26"/>
      <c r="E63" s="219">
        <f t="shared" si="1"/>
        <v>0</v>
      </c>
    </row>
    <row r="64" spans="1:5" ht="12.75">
      <c r="A64" s="18">
        <f>SUM(A62:A63)</f>
        <v>0</v>
      </c>
      <c r="B64" s="219">
        <f t="shared" si="0"/>
        <v>0</v>
      </c>
      <c r="D64" s="18">
        <f>SUM(D62:D63)</f>
        <v>0</v>
      </c>
      <c r="E64" s="219">
        <f t="shared" si="1"/>
        <v>0</v>
      </c>
    </row>
    <row r="65" spans="1:5" ht="12.75">
      <c r="A65" s="25"/>
      <c r="B65" s="219">
        <f t="shared" si="0"/>
        <v>0</v>
      </c>
      <c r="D65" s="25"/>
      <c r="E65" s="219">
        <f t="shared" si="1"/>
        <v>0</v>
      </c>
    </row>
    <row r="66" spans="1:5" ht="12.75">
      <c r="A66" s="28"/>
      <c r="B66" s="219">
        <f t="shared" si="0"/>
        <v>0</v>
      </c>
      <c r="D66" s="28"/>
      <c r="E66" s="219">
        <f t="shared" si="1"/>
        <v>0</v>
      </c>
    </row>
    <row r="67" spans="1:5" ht="12.75">
      <c r="A67" s="28"/>
      <c r="B67" s="219">
        <f aca="true" t="shared" si="2" ref="B67:B109">((+A67*5%)+A67)*12</f>
        <v>0</v>
      </c>
      <c r="D67" s="28"/>
      <c r="E67" s="219">
        <f aca="true" t="shared" si="3" ref="E67:E109">((+D67*5%)+D67)*12</f>
        <v>0</v>
      </c>
    </row>
    <row r="68" spans="1:5" ht="12.75">
      <c r="A68" s="18"/>
      <c r="B68" s="219">
        <f t="shared" si="2"/>
        <v>0</v>
      </c>
      <c r="D68" s="18"/>
      <c r="E68" s="219">
        <f t="shared" si="3"/>
        <v>0</v>
      </c>
    </row>
    <row r="69" spans="1:5" ht="12.75">
      <c r="A69" s="16"/>
      <c r="B69" s="219">
        <f t="shared" si="2"/>
        <v>0</v>
      </c>
      <c r="D69" s="16"/>
      <c r="E69" s="219">
        <f t="shared" si="3"/>
        <v>0</v>
      </c>
    </row>
    <row r="70" spans="1:5" ht="12.75">
      <c r="A70" s="16"/>
      <c r="B70" s="219">
        <f t="shared" si="2"/>
        <v>0</v>
      </c>
      <c r="D70" s="16"/>
      <c r="E70" s="219">
        <f t="shared" si="3"/>
        <v>0</v>
      </c>
    </row>
    <row r="71" spans="1:5" ht="12.75">
      <c r="A71" s="16"/>
      <c r="B71" s="219">
        <f t="shared" si="2"/>
        <v>0</v>
      </c>
      <c r="D71" s="16"/>
      <c r="E71" s="219">
        <f t="shared" si="3"/>
        <v>0</v>
      </c>
    </row>
    <row r="72" spans="1:5" ht="12.75">
      <c r="A72" s="16"/>
      <c r="B72" s="219">
        <f t="shared" si="2"/>
        <v>0</v>
      </c>
      <c r="D72" s="16"/>
      <c r="E72" s="219">
        <f t="shared" si="3"/>
        <v>0</v>
      </c>
    </row>
    <row r="73" spans="1:5" ht="12.75">
      <c r="A73" s="29"/>
      <c r="B73" s="219">
        <f t="shared" si="2"/>
        <v>0</v>
      </c>
      <c r="D73" s="29"/>
      <c r="E73" s="219">
        <f t="shared" si="3"/>
        <v>0</v>
      </c>
    </row>
    <row r="74" spans="1:5" ht="12.75">
      <c r="A74" s="25"/>
      <c r="B74" s="219">
        <f t="shared" si="2"/>
        <v>0</v>
      </c>
      <c r="D74" s="25"/>
      <c r="E74" s="219">
        <f t="shared" si="3"/>
        <v>0</v>
      </c>
    </row>
    <row r="75" spans="1:5" ht="12.75">
      <c r="A75" s="21"/>
      <c r="B75" s="219">
        <f t="shared" si="2"/>
        <v>0</v>
      </c>
      <c r="D75" s="21"/>
      <c r="E75" s="219">
        <f t="shared" si="3"/>
        <v>0</v>
      </c>
    </row>
    <row r="76" spans="1:5" ht="12.75">
      <c r="A76" s="50">
        <v>32.01</v>
      </c>
      <c r="B76" s="219">
        <f t="shared" si="2"/>
        <v>403.3259999999999</v>
      </c>
      <c r="D76" s="50">
        <v>34.76</v>
      </c>
      <c r="E76" s="219">
        <f t="shared" si="3"/>
        <v>437.976</v>
      </c>
    </row>
    <row r="77" spans="1:5" ht="12.75">
      <c r="A77" s="50">
        <v>33.4</v>
      </c>
      <c r="B77" s="219">
        <f t="shared" si="2"/>
        <v>420.84000000000003</v>
      </c>
      <c r="D77" s="50">
        <v>66.6</v>
      </c>
      <c r="E77" s="219">
        <f t="shared" si="3"/>
        <v>839.1599999999999</v>
      </c>
    </row>
    <row r="78" spans="1:5" ht="12.75">
      <c r="A78" s="18">
        <f>SUM(A75:A77)</f>
        <v>65.41</v>
      </c>
      <c r="B78" s="219">
        <f t="shared" si="2"/>
        <v>824.1659999999999</v>
      </c>
      <c r="D78" s="18">
        <f>SUM(D75:D77)</f>
        <v>101.35999999999999</v>
      </c>
      <c r="E78" s="219">
        <f t="shared" si="3"/>
        <v>1277.1359999999997</v>
      </c>
    </row>
    <row r="79" spans="1:5" ht="12.75">
      <c r="A79" s="16"/>
      <c r="B79" s="219">
        <f t="shared" si="2"/>
        <v>0</v>
      </c>
      <c r="D79" s="16"/>
      <c r="E79" s="219">
        <f t="shared" si="3"/>
        <v>0</v>
      </c>
    </row>
    <row r="80" spans="1:5" ht="12.75">
      <c r="A80" s="25"/>
      <c r="B80" s="219">
        <f t="shared" si="2"/>
        <v>0</v>
      </c>
      <c r="D80" s="25"/>
      <c r="E80" s="219">
        <f t="shared" si="3"/>
        <v>0</v>
      </c>
    </row>
    <row r="81" spans="1:5" ht="12.75">
      <c r="A81" s="50">
        <v>34.77</v>
      </c>
      <c r="B81" s="219">
        <f t="shared" si="2"/>
        <v>438.1020000000001</v>
      </c>
      <c r="D81" s="50">
        <v>43.08</v>
      </c>
      <c r="E81" s="219">
        <f t="shared" si="3"/>
        <v>542.808</v>
      </c>
    </row>
    <row r="82" spans="1:5" ht="12.75">
      <c r="A82" s="50">
        <v>31.38</v>
      </c>
      <c r="B82" s="219">
        <f t="shared" si="2"/>
        <v>395.388</v>
      </c>
      <c r="D82" s="50">
        <v>72.49</v>
      </c>
      <c r="E82" s="219">
        <f t="shared" si="3"/>
        <v>913.3739999999999</v>
      </c>
    </row>
    <row r="83" spans="1:5" ht="12.75">
      <c r="A83" s="50"/>
      <c r="B83" s="219">
        <f t="shared" si="2"/>
        <v>0</v>
      </c>
      <c r="D83" s="50"/>
      <c r="E83" s="219">
        <f t="shared" si="3"/>
        <v>0</v>
      </c>
    </row>
    <row r="84" spans="1:5" ht="12.75">
      <c r="A84" s="18">
        <f>SUM(A81:A83)</f>
        <v>66.15</v>
      </c>
      <c r="B84" s="219">
        <f t="shared" si="2"/>
        <v>833.4900000000001</v>
      </c>
      <c r="D84" s="18">
        <f>SUM(D81:D83)</f>
        <v>115.57</v>
      </c>
      <c r="E84" s="219">
        <f t="shared" si="3"/>
        <v>1456.1819999999998</v>
      </c>
    </row>
    <row r="85" spans="1:5" ht="12.75">
      <c r="A85" s="16"/>
      <c r="B85" s="219">
        <f t="shared" si="2"/>
        <v>0</v>
      </c>
      <c r="D85" s="16"/>
      <c r="E85" s="219">
        <f t="shared" si="3"/>
        <v>0</v>
      </c>
    </row>
    <row r="86" spans="1:5" ht="12.75">
      <c r="A86" s="25"/>
      <c r="B86" s="219">
        <f t="shared" si="2"/>
        <v>0</v>
      </c>
      <c r="D86" s="25"/>
      <c r="E86" s="219">
        <f t="shared" si="3"/>
        <v>0</v>
      </c>
    </row>
    <row r="87" spans="1:5" ht="12.75">
      <c r="A87" s="15">
        <v>37.58</v>
      </c>
      <c r="B87" s="219">
        <f t="shared" si="2"/>
        <v>473.5079999999999</v>
      </c>
      <c r="D87" s="15">
        <v>70.52</v>
      </c>
      <c r="E87" s="219">
        <f t="shared" si="3"/>
        <v>888.5519999999999</v>
      </c>
    </row>
    <row r="88" spans="1:5" ht="12.75">
      <c r="A88" s="15">
        <v>40</v>
      </c>
      <c r="B88" s="219">
        <f t="shared" si="2"/>
        <v>504</v>
      </c>
      <c r="D88" s="15">
        <v>71</v>
      </c>
      <c r="E88" s="219">
        <f t="shared" si="3"/>
        <v>894.5999999999999</v>
      </c>
    </row>
    <row r="89" spans="1:5" ht="12.75">
      <c r="A89" s="18">
        <f>SUM(A87:A88)</f>
        <v>77.58</v>
      </c>
      <c r="B89" s="219">
        <f t="shared" si="2"/>
        <v>977.508</v>
      </c>
      <c r="D89" s="18">
        <f>SUM(D87:D88)</f>
        <v>141.51999999999998</v>
      </c>
      <c r="E89" s="219">
        <f t="shared" si="3"/>
        <v>1783.1519999999996</v>
      </c>
    </row>
    <row r="90" spans="1:5" ht="12.75">
      <c r="A90" s="23"/>
      <c r="B90" s="219">
        <f t="shared" si="2"/>
        <v>0</v>
      </c>
      <c r="D90" s="23"/>
      <c r="E90" s="219">
        <f t="shared" si="3"/>
        <v>0</v>
      </c>
    </row>
    <row r="91" spans="1:5" ht="12.75">
      <c r="A91" s="25"/>
      <c r="B91" s="219">
        <f t="shared" si="2"/>
        <v>0</v>
      </c>
      <c r="D91" s="25"/>
      <c r="E91" s="219">
        <f t="shared" si="3"/>
        <v>0</v>
      </c>
    </row>
    <row r="92" spans="1:5" ht="12.75">
      <c r="A92" s="15">
        <v>27.33</v>
      </c>
      <c r="B92" s="219">
        <f t="shared" si="2"/>
        <v>344.35799999999995</v>
      </c>
      <c r="D92" s="15">
        <v>70.52</v>
      </c>
      <c r="E92" s="219">
        <f t="shared" si="3"/>
        <v>888.5519999999999</v>
      </c>
    </row>
    <row r="93" spans="1:5" ht="12.75">
      <c r="A93" s="15">
        <v>60.68</v>
      </c>
      <c r="B93" s="219">
        <f t="shared" si="2"/>
        <v>764.568</v>
      </c>
      <c r="D93" s="15">
        <v>35</v>
      </c>
      <c r="E93" s="219">
        <f t="shared" si="3"/>
        <v>441</v>
      </c>
    </row>
    <row r="94" spans="1:5" ht="12.75">
      <c r="A94" s="15">
        <v>16.86</v>
      </c>
      <c r="B94" s="219">
        <f t="shared" si="2"/>
        <v>212.43599999999998</v>
      </c>
      <c r="D94" s="15">
        <v>39</v>
      </c>
      <c r="E94" s="219">
        <f t="shared" si="3"/>
        <v>491.40000000000003</v>
      </c>
    </row>
    <row r="95" spans="1:5" ht="12.75">
      <c r="A95" s="18">
        <f>SUM(A92:A94)</f>
        <v>104.86999999999999</v>
      </c>
      <c r="B95" s="219">
        <f t="shared" si="2"/>
        <v>1321.3619999999999</v>
      </c>
      <c r="D95" s="18">
        <f>SUM(D92:D94)</f>
        <v>144.51999999999998</v>
      </c>
      <c r="E95" s="219">
        <f t="shared" si="3"/>
        <v>1820.9519999999998</v>
      </c>
    </row>
    <row r="96" spans="1:5" ht="12.75">
      <c r="A96" s="16"/>
      <c r="B96" s="219">
        <f t="shared" si="2"/>
        <v>0</v>
      </c>
      <c r="D96" s="16"/>
      <c r="E96" s="219">
        <f t="shared" si="3"/>
        <v>0</v>
      </c>
    </row>
    <row r="97" spans="1:5" ht="12.75">
      <c r="A97" s="25"/>
      <c r="B97" s="219">
        <f t="shared" si="2"/>
        <v>0</v>
      </c>
      <c r="D97" s="25"/>
      <c r="E97" s="219">
        <f t="shared" si="3"/>
        <v>0</v>
      </c>
    </row>
    <row r="98" spans="1:5" ht="12.75">
      <c r="A98" s="21">
        <v>52.17</v>
      </c>
      <c r="B98" s="219">
        <f t="shared" si="2"/>
        <v>657.342</v>
      </c>
      <c r="D98" s="21">
        <v>114</v>
      </c>
      <c r="E98" s="219">
        <f t="shared" si="3"/>
        <v>1436.4</v>
      </c>
    </row>
    <row r="99" spans="1:5" ht="12.75">
      <c r="A99" s="18">
        <f>SUM(A98)</f>
        <v>52.17</v>
      </c>
      <c r="B99" s="219">
        <f t="shared" si="2"/>
        <v>657.342</v>
      </c>
      <c r="D99" s="18">
        <f>SUM(D98)</f>
        <v>114</v>
      </c>
      <c r="E99" s="219">
        <f t="shared" si="3"/>
        <v>1436.4</v>
      </c>
    </row>
    <row r="100" spans="1:5" ht="12.75">
      <c r="A100" s="25"/>
      <c r="B100" s="219">
        <f t="shared" si="2"/>
        <v>0</v>
      </c>
      <c r="D100" s="25"/>
      <c r="E100" s="219">
        <f t="shared" si="3"/>
        <v>0</v>
      </c>
    </row>
    <row r="101" spans="1:5" ht="12.75">
      <c r="A101" s="21">
        <v>0</v>
      </c>
      <c r="B101" s="219">
        <f t="shared" si="2"/>
        <v>0</v>
      </c>
      <c r="D101" s="21"/>
      <c r="E101" s="219">
        <f t="shared" si="3"/>
        <v>0</v>
      </c>
    </row>
    <row r="102" spans="1:5" ht="12.75">
      <c r="A102" s="18">
        <f>SUM(A101)</f>
        <v>0</v>
      </c>
      <c r="B102" s="219">
        <f t="shared" si="2"/>
        <v>0</v>
      </c>
      <c r="D102" s="18">
        <f>SUM(D101)</f>
        <v>0</v>
      </c>
      <c r="E102" s="219">
        <f t="shared" si="3"/>
        <v>0</v>
      </c>
    </row>
    <row r="103" spans="1:5" ht="12.75">
      <c r="A103" s="25"/>
      <c r="B103" s="219">
        <f t="shared" si="2"/>
        <v>0</v>
      </c>
      <c r="D103" s="25"/>
      <c r="E103" s="219">
        <f t="shared" si="3"/>
        <v>0</v>
      </c>
    </row>
    <row r="104" spans="1:5" ht="12.75">
      <c r="A104" s="21">
        <v>0</v>
      </c>
      <c r="B104" s="219">
        <f t="shared" si="2"/>
        <v>0</v>
      </c>
      <c r="D104" s="21">
        <v>0</v>
      </c>
      <c r="E104" s="219">
        <f t="shared" si="3"/>
        <v>0</v>
      </c>
    </row>
    <row r="105" spans="1:5" ht="12.75">
      <c r="A105" s="18">
        <f>SUM(A104)</f>
        <v>0</v>
      </c>
      <c r="B105" s="219">
        <f t="shared" si="2"/>
        <v>0</v>
      </c>
      <c r="D105" s="18">
        <f>SUM(D104)</f>
        <v>0</v>
      </c>
      <c r="E105" s="219">
        <f t="shared" si="3"/>
        <v>0</v>
      </c>
    </row>
    <row r="106" spans="1:5" ht="12.75">
      <c r="A106" s="16"/>
      <c r="B106" s="219">
        <f t="shared" si="2"/>
        <v>0</v>
      </c>
      <c r="D106" s="16"/>
      <c r="E106" s="219">
        <f t="shared" si="3"/>
        <v>0</v>
      </c>
    </row>
    <row r="107" spans="1:5" ht="12.75">
      <c r="A107" s="25"/>
      <c r="B107" s="219">
        <f t="shared" si="2"/>
        <v>0</v>
      </c>
      <c r="D107" s="25"/>
      <c r="E107" s="219">
        <f t="shared" si="3"/>
        <v>0</v>
      </c>
    </row>
    <row r="108" spans="1:5" ht="12.75">
      <c r="A108" s="16">
        <v>35.48</v>
      </c>
      <c r="B108" s="219">
        <f t="shared" si="2"/>
        <v>447.048</v>
      </c>
      <c r="D108" s="16">
        <v>35</v>
      </c>
      <c r="E108" s="219">
        <f t="shared" si="3"/>
        <v>441</v>
      </c>
    </row>
    <row r="109" spans="1:5" ht="12.75">
      <c r="A109" s="18">
        <f>SUM(A108)</f>
        <v>35.48</v>
      </c>
      <c r="B109" s="219">
        <f t="shared" si="2"/>
        <v>447.048</v>
      </c>
      <c r="D109" s="18">
        <f>SUM(D108)</f>
        <v>35</v>
      </c>
      <c r="E109" s="219">
        <f t="shared" si="3"/>
        <v>441</v>
      </c>
    </row>
    <row r="110" spans="1:4" ht="12.75">
      <c r="A110" s="29"/>
      <c r="B110" s="219">
        <f>(+A110*12*3%)+A110</f>
        <v>0</v>
      </c>
      <c r="D110" s="29"/>
    </row>
    <row r="111" spans="1:5" ht="12.75">
      <c r="A111" s="32">
        <f>A4+A33+A46+A59+A64+A78+A84+A89+A95+A109+A99+A105+A102</f>
        <v>1047.99</v>
      </c>
      <c r="B111" s="32">
        <f>B4+B33+B46+B59+B64+B78+B84+B89+B95+B109+B99+B105+B102</f>
        <v>13204.674</v>
      </c>
      <c r="D111" s="32">
        <f>D4+D33+D46+D59+D64+D78+D84+D89+D95+D109+D99+D105+D102</f>
        <v>2084.2799999999997</v>
      </c>
      <c r="E111" s="32">
        <f>E4+E33+E46+E59+E64+E78+E84+E89+E95+E109+E99+E105+E102</f>
        <v>26261.928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pmatherne</dc:creator>
  <cp:keywords/>
  <dc:description/>
  <cp:lastModifiedBy>Mark Moseley</cp:lastModifiedBy>
  <cp:lastPrinted>2012-07-10T23:09:20Z</cp:lastPrinted>
  <dcterms:created xsi:type="dcterms:W3CDTF">2004-02-11T17:37:54Z</dcterms:created>
  <dcterms:modified xsi:type="dcterms:W3CDTF">2012-07-16T15:59:22Z</dcterms:modified>
  <cp:category/>
  <cp:version/>
  <cp:contentType/>
  <cp:contentStatus/>
</cp:coreProperties>
</file>